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" windowWidth="15480" windowHeight="5385"/>
  </bookViews>
  <sheets>
    <sheet name="1" sheetId="2" r:id="rId1"/>
    <sheet name="описание" sheetId="4" r:id="rId2"/>
    <sheet name="График" sheetId="5" r:id="rId3"/>
    <sheet name="Инвестиции" sheetId="6" r:id="rId4"/>
    <sheet name="Точка безубыточности" sheetId="7" r:id="rId5"/>
  </sheets>
  <definedNames>
    <definedName name="_xlnm.Print_Area" localSheetId="0">'1'!$A$1:$O$42</definedName>
    <definedName name="_xlnm.Print_Area" localSheetId="2">График!$A$1:$H$37</definedName>
    <definedName name="_xlnm.Print_Area" localSheetId="3">Инвестиции!$B$1:$H$22</definedName>
    <definedName name="_xlnm.Print_Area" localSheetId="1">описание!$A$1:$B$33</definedName>
  </definedNames>
  <calcPr calcId="145621"/>
</workbook>
</file>

<file path=xl/calcChain.xml><?xml version="1.0" encoding="utf-8"?>
<calcChain xmlns="http://schemas.openxmlformats.org/spreadsheetml/2006/main">
  <c r="E34" i="2" l="1"/>
  <c r="F34" i="2"/>
  <c r="G34" i="2"/>
  <c r="H34" i="2"/>
  <c r="I34" i="2"/>
  <c r="J34" i="2"/>
  <c r="K34" i="2"/>
  <c r="L34" i="2"/>
  <c r="M34" i="2"/>
  <c r="D34" i="2"/>
  <c r="C34" i="2"/>
  <c r="B34" i="7"/>
  <c r="B24" i="7"/>
  <c r="B29" i="7" s="1"/>
  <c r="B23" i="7" s="1"/>
  <c r="B4" i="7"/>
  <c r="B3" i="7" s="1"/>
  <c r="B14" i="7" s="1"/>
  <c r="N25" i="2"/>
  <c r="N26" i="2"/>
  <c r="N27" i="2"/>
  <c r="N28" i="2"/>
  <c r="N30" i="2"/>
  <c r="N31" i="2"/>
  <c r="N32" i="2"/>
  <c r="N33" i="2"/>
  <c r="B22" i="7" l="1"/>
  <c r="B17" i="7"/>
  <c r="B16" i="7"/>
  <c r="B15" i="7"/>
  <c r="B8" i="7"/>
  <c r="B10" i="7"/>
  <c r="B13" i="7" l="1"/>
  <c r="B18" i="7" s="1"/>
  <c r="B19" i="7"/>
  <c r="B20" i="7"/>
  <c r="B21" i="7" s="1"/>
  <c r="H17" i="6"/>
  <c r="C10" i="6"/>
  <c r="H8" i="6"/>
  <c r="H9" i="6"/>
  <c r="H10" i="6"/>
  <c r="C16" i="6" s="1"/>
  <c r="H13" i="6"/>
  <c r="H14" i="6"/>
  <c r="H15" i="6"/>
  <c r="H16" i="6"/>
  <c r="H18" i="6"/>
  <c r="B9" i="7" l="1"/>
  <c r="B35" i="7" s="1"/>
  <c r="B36" i="7" s="1"/>
  <c r="B38" i="7" s="1"/>
  <c r="B39" i="7" s="1"/>
  <c r="C19" i="6"/>
  <c r="C20" i="6"/>
  <c r="C18" i="6"/>
  <c r="C15" i="6" s="1"/>
  <c r="C4" i="6"/>
  <c r="N6" i="2"/>
  <c r="N5" i="2"/>
  <c r="M24" i="2"/>
  <c r="M4" i="2"/>
  <c r="M15" i="2" s="1"/>
  <c r="L24" i="2"/>
  <c r="L29" i="2" s="1"/>
  <c r="L4" i="2"/>
  <c r="K24" i="2"/>
  <c r="K29" i="2" s="1"/>
  <c r="K4" i="2"/>
  <c r="J24" i="2"/>
  <c r="J29" i="2" s="1"/>
  <c r="J4" i="2"/>
  <c r="I24" i="2"/>
  <c r="I29" i="2" s="1"/>
  <c r="I4" i="2"/>
  <c r="H24" i="2"/>
  <c r="H29" i="2" s="1"/>
  <c r="H4" i="2"/>
  <c r="G24" i="2"/>
  <c r="G29" i="2" s="1"/>
  <c r="G4" i="2"/>
  <c r="G3" i="2" s="1"/>
  <c r="G10" i="2" s="1"/>
  <c r="F24" i="2"/>
  <c r="F29" i="2" s="1"/>
  <c r="F4" i="2"/>
  <c r="F3" i="2" s="1"/>
  <c r="F10" i="2" s="1"/>
  <c r="D24" i="2"/>
  <c r="D4" i="2"/>
  <c r="C24" i="2"/>
  <c r="C29" i="2" s="1"/>
  <c r="C4" i="2"/>
  <c r="C3" i="2" s="1"/>
  <c r="C10" i="2" s="1"/>
  <c r="B24" i="2"/>
  <c r="B4" i="2"/>
  <c r="B3" i="2" s="1"/>
  <c r="E24" i="2"/>
  <c r="E4" i="2"/>
  <c r="E16" i="2" s="1"/>
  <c r="B37" i="7" l="1"/>
  <c r="N34" i="2"/>
  <c r="B15" i="2"/>
  <c r="B29" i="2"/>
  <c r="N24" i="2"/>
  <c r="D15" i="2"/>
  <c r="D3" i="2"/>
  <c r="D10" i="2" s="1"/>
  <c r="H15" i="2"/>
  <c r="H3" i="2"/>
  <c r="H10" i="2" s="1"/>
  <c r="I17" i="2"/>
  <c r="I3" i="2"/>
  <c r="I10" i="2" s="1"/>
  <c r="J17" i="2"/>
  <c r="J3" i="2"/>
  <c r="J10" i="2" s="1"/>
  <c r="K17" i="2"/>
  <c r="K3" i="2"/>
  <c r="K10" i="2" s="1"/>
  <c r="L17" i="2"/>
  <c r="L3" i="2"/>
  <c r="L10" i="2" s="1"/>
  <c r="M17" i="2"/>
  <c r="M3" i="2"/>
  <c r="E17" i="2"/>
  <c r="E3" i="2"/>
  <c r="E10" i="2" s="1"/>
  <c r="G23" i="2"/>
  <c r="N4" i="2"/>
  <c r="M8" i="2"/>
  <c r="D35" i="5" s="1"/>
  <c r="H16" i="2"/>
  <c r="C8" i="2"/>
  <c r="D25" i="5" s="1"/>
  <c r="K15" i="2"/>
  <c r="J16" i="2"/>
  <c r="G16" i="2"/>
  <c r="J8" i="2"/>
  <c r="D32" i="5" s="1"/>
  <c r="L16" i="2"/>
  <c r="C16" i="2"/>
  <c r="L8" i="2"/>
  <c r="D34" i="5" s="1"/>
  <c r="K16" i="2"/>
  <c r="L15" i="2"/>
  <c r="J15" i="2"/>
  <c r="F15" i="2"/>
  <c r="I15" i="2"/>
  <c r="C19" i="2"/>
  <c r="G14" i="2"/>
  <c r="M16" i="2"/>
  <c r="E15" i="2"/>
  <c r="K8" i="2"/>
  <c r="D33" i="5" s="1"/>
  <c r="E8" i="2"/>
  <c r="D27" i="5" s="1"/>
  <c r="D17" i="2"/>
  <c r="F14" i="2"/>
  <c r="M29" i="2"/>
  <c r="M23" i="2" s="1"/>
  <c r="G20" i="2"/>
  <c r="F20" i="2"/>
  <c r="D16" i="2"/>
  <c r="C14" i="2"/>
  <c r="E29" i="2"/>
  <c r="E23" i="2" s="1"/>
  <c r="B8" i="2"/>
  <c r="B16" i="2"/>
  <c r="C15" i="2"/>
  <c r="D8" i="2"/>
  <c r="D29" i="2"/>
  <c r="D23" i="2" s="1"/>
  <c r="F8" i="2"/>
  <c r="F16" i="2"/>
  <c r="G15" i="2"/>
  <c r="G8" i="2"/>
  <c r="H8" i="2"/>
  <c r="I8" i="2"/>
  <c r="I16" i="2"/>
  <c r="D24" i="5"/>
  <c r="B23" i="2"/>
  <c r="C3" i="6"/>
  <c r="D30" i="5"/>
  <c r="I23" i="2"/>
  <c r="J23" i="2"/>
  <c r="C20" i="2"/>
  <c r="H23" i="2"/>
  <c r="L23" i="2"/>
  <c r="C23" i="2"/>
  <c r="F23" i="2"/>
  <c r="K23" i="2"/>
  <c r="B17" i="2"/>
  <c r="C17" i="2"/>
  <c r="F17" i="2"/>
  <c r="G17" i="2"/>
  <c r="H17" i="2"/>
  <c r="I20" i="2" l="1"/>
  <c r="I21" i="2" s="1"/>
  <c r="N23" i="2"/>
  <c r="N29" i="2"/>
  <c r="N3" i="2"/>
  <c r="O3" i="2" s="1"/>
  <c r="M10" i="2"/>
  <c r="F13" i="2"/>
  <c r="J20" i="2"/>
  <c r="J21" i="2" s="1"/>
  <c r="I14" i="2"/>
  <c r="I13" i="2" s="1"/>
  <c r="L14" i="2"/>
  <c r="L22" i="2"/>
  <c r="J14" i="2"/>
  <c r="I19" i="2"/>
  <c r="M14" i="2"/>
  <c r="E14" i="2"/>
  <c r="N16" i="2"/>
  <c r="G13" i="2"/>
  <c r="C13" i="2"/>
  <c r="G22" i="2"/>
  <c r="D31" i="5"/>
  <c r="N15" i="2"/>
  <c r="B14" i="2"/>
  <c r="F19" i="2"/>
  <c r="H14" i="2"/>
  <c r="D29" i="5"/>
  <c r="D28" i="5"/>
  <c r="D26" i="5"/>
  <c r="M19" i="2"/>
  <c r="G19" i="2"/>
  <c r="D14" i="2"/>
  <c r="K14" i="2"/>
  <c r="G21" i="2"/>
  <c r="I22" i="2"/>
  <c r="F21" i="2"/>
  <c r="C21" i="2"/>
  <c r="F22" i="2"/>
  <c r="C22" i="2"/>
  <c r="M22" i="2"/>
  <c r="F18" i="2"/>
  <c r="M20" i="2" l="1"/>
  <c r="M21" i="2" s="1"/>
  <c r="I9" i="2"/>
  <c r="I35" i="2" s="1"/>
  <c r="G18" i="2"/>
  <c r="G9" i="2"/>
  <c r="G35" i="2" s="1"/>
  <c r="C9" i="2"/>
  <c r="C35" i="2" s="1"/>
  <c r="F9" i="2"/>
  <c r="F35" i="2" s="1"/>
  <c r="J19" i="2"/>
  <c r="O29" i="2"/>
  <c r="C18" i="2"/>
  <c r="L19" i="2"/>
  <c r="L20" i="2"/>
  <c r="L13" i="2"/>
  <c r="J22" i="2"/>
  <c r="J13" i="2"/>
  <c r="M13" i="2"/>
  <c r="M9" i="2" s="1"/>
  <c r="M35" i="2" s="1"/>
  <c r="E22" i="2"/>
  <c r="E13" i="2"/>
  <c r="K22" i="2"/>
  <c r="O16" i="2"/>
  <c r="E19" i="2"/>
  <c r="E20" i="2"/>
  <c r="B22" i="2"/>
  <c r="H22" i="2"/>
  <c r="H13" i="2"/>
  <c r="D22" i="2"/>
  <c r="D19" i="2"/>
  <c r="D20" i="2"/>
  <c r="D13" i="2"/>
  <c r="H19" i="2"/>
  <c r="H20" i="2"/>
  <c r="O23" i="2"/>
  <c r="I18" i="2"/>
  <c r="B13" i="2"/>
  <c r="K13" i="2"/>
  <c r="N14" i="2"/>
  <c r="O14" i="2" s="1"/>
  <c r="K19" i="2"/>
  <c r="K20" i="2"/>
  <c r="O32" i="2"/>
  <c r="N8" i="2"/>
  <c r="O28" i="2"/>
  <c r="O33" i="2"/>
  <c r="O34" i="2"/>
  <c r="O6" i="2"/>
  <c r="O30" i="2"/>
  <c r="O31" i="2"/>
  <c r="O5" i="2"/>
  <c r="O27" i="2"/>
  <c r="O26" i="2"/>
  <c r="O24" i="2"/>
  <c r="O25" i="2"/>
  <c r="O15" i="2"/>
  <c r="D9" i="2" l="1"/>
  <c r="D35" i="2" s="1"/>
  <c r="J9" i="2"/>
  <c r="J35" i="2" s="1"/>
  <c r="L9" i="2"/>
  <c r="L35" i="2" s="1"/>
  <c r="H9" i="2"/>
  <c r="H35" i="2" s="1"/>
  <c r="E9" i="2"/>
  <c r="E35" i="2" s="1"/>
  <c r="K9" i="2"/>
  <c r="K35" i="2" s="1"/>
  <c r="L21" i="2"/>
  <c r="I36" i="2"/>
  <c r="L18" i="2"/>
  <c r="J18" i="2"/>
  <c r="M18" i="2"/>
  <c r="E21" i="2"/>
  <c r="E18" i="2"/>
  <c r="H18" i="2"/>
  <c r="H36" i="2"/>
  <c r="B18" i="2"/>
  <c r="H21" i="2"/>
  <c r="D18" i="2"/>
  <c r="D21" i="2"/>
  <c r="N22" i="2"/>
  <c r="O22" i="2" s="1"/>
  <c r="K21" i="2"/>
  <c r="K18" i="2"/>
  <c r="N13" i="2"/>
  <c r="N17" i="2"/>
  <c r="O17" i="2" s="1"/>
  <c r="O4" i="2"/>
  <c r="O8" i="2"/>
  <c r="G36" i="2"/>
  <c r="F36" i="2"/>
  <c r="C36" i="2"/>
  <c r="C38" i="2" s="1"/>
  <c r="J36" i="2" l="1"/>
  <c r="J37" i="2" s="1"/>
  <c r="O13" i="2"/>
  <c r="N18" i="2"/>
  <c r="O18" i="2" s="1"/>
  <c r="I38" i="2"/>
  <c r="I37" i="2"/>
  <c r="I39" i="2"/>
  <c r="C37" i="2"/>
  <c r="C39" i="2"/>
  <c r="H38" i="2"/>
  <c r="H37" i="2"/>
  <c r="F37" i="2"/>
  <c r="F38" i="2"/>
  <c r="F39" i="2" s="1"/>
  <c r="G38" i="2"/>
  <c r="G37" i="2"/>
  <c r="G39" i="2"/>
  <c r="J38" i="2" l="1"/>
  <c r="J39" i="2" s="1"/>
  <c r="L36" i="2"/>
  <c r="M36" i="2"/>
  <c r="E36" i="2"/>
  <c r="E38" i="2" s="1"/>
  <c r="D36" i="2"/>
  <c r="K36" i="2"/>
  <c r="E31" i="5"/>
  <c r="E29" i="5"/>
  <c r="E28" i="5"/>
  <c r="H39" i="2"/>
  <c r="E25" i="5"/>
  <c r="L37" i="2" l="1"/>
  <c r="L38" i="2"/>
  <c r="M38" i="2"/>
  <c r="M37" i="2"/>
  <c r="E37" i="2"/>
  <c r="E39" i="2"/>
  <c r="D38" i="2"/>
  <c r="D37" i="2"/>
  <c r="K38" i="2"/>
  <c r="K37" i="2"/>
  <c r="E32" i="5"/>
  <c r="E30" i="5"/>
  <c r="L39" i="2" l="1"/>
  <c r="M39" i="2"/>
  <c r="E27" i="5"/>
  <c r="D39" i="2"/>
  <c r="E26" i="5" s="1"/>
  <c r="K39" i="2"/>
  <c r="E34" i="5" l="1"/>
  <c r="E35" i="5"/>
  <c r="E33" i="5"/>
  <c r="B10" i="2"/>
  <c r="B20" i="2" l="1"/>
  <c r="B21" i="2" s="1"/>
  <c r="N10" i="2"/>
  <c r="B19" i="2"/>
  <c r="B9" i="2" l="1"/>
  <c r="B35" i="2" s="1"/>
  <c r="N35" i="2" s="1"/>
  <c r="O10" i="2"/>
  <c r="N20" i="2"/>
  <c r="N12" i="2"/>
  <c r="O12" i="2" s="1"/>
  <c r="N19" i="2"/>
  <c r="O19" i="2" s="1"/>
  <c r="B36" i="2" l="1"/>
  <c r="B37" i="2" s="1"/>
  <c r="O20" i="2"/>
  <c r="N21" i="2"/>
  <c r="O35" i="2"/>
  <c r="N36" i="2"/>
  <c r="B39" i="2" l="1"/>
  <c r="N38" i="2"/>
  <c r="O38" i="2" s="1"/>
  <c r="O36" i="2"/>
  <c r="N37" i="2"/>
  <c r="O37" i="2" s="1"/>
  <c r="B40" i="2"/>
  <c r="C40" i="2" s="1"/>
  <c r="D40" i="2" s="1"/>
  <c r="E40" i="2" s="1"/>
  <c r="F40" i="2" s="1"/>
  <c r="G40" i="2" s="1"/>
  <c r="H40" i="2" s="1"/>
  <c r="I40" i="2" s="1"/>
  <c r="J40" i="2" s="1"/>
  <c r="K40" i="2" s="1"/>
  <c r="L40" i="2" s="1"/>
  <c r="M40" i="2" s="1"/>
  <c r="N39" i="2"/>
  <c r="O39" i="2" s="1"/>
  <c r="E24" i="5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</calcChain>
</file>

<file path=xl/sharedStrings.xml><?xml version="1.0" encoding="utf-8"?>
<sst xmlns="http://schemas.openxmlformats.org/spreadsheetml/2006/main" count="183" uniqueCount="124">
  <si>
    <t>Выручка от реализации продукции</t>
  </si>
  <si>
    <t>Наименование</t>
  </si>
  <si>
    <t>ИТОГО</t>
  </si>
  <si>
    <t>ср. чек</t>
  </si>
  <si>
    <t>количество договоров</t>
  </si>
  <si>
    <t>Постоянные затраты</t>
  </si>
  <si>
    <t>консультаны</t>
  </si>
  <si>
    <t>монтажные бригады</t>
  </si>
  <si>
    <t>прочее</t>
  </si>
  <si>
    <t>Налог на прибыль (норм)</t>
  </si>
  <si>
    <t>Операционная рентабельность (ROSo)</t>
  </si>
  <si>
    <t>Доходы:</t>
  </si>
  <si>
    <t>Заработная плата, в т.ч.</t>
  </si>
  <si>
    <t>Маржинальная прибыль</t>
  </si>
  <si>
    <t>Заработная плата, в т.ч.:</t>
  </si>
  <si>
    <t>Расходы на персонал, в т.ч.:</t>
  </si>
  <si>
    <t>Рентабельность з/п</t>
  </si>
  <si>
    <t>ИТОГО Переменные затраты</t>
  </si>
  <si>
    <t>Всего Расходы:</t>
  </si>
  <si>
    <t>Маржинальность</t>
  </si>
  <si>
    <t>Прибыль для распределения</t>
  </si>
  <si>
    <t>ВЫРУЧКА ИТОГО</t>
  </si>
  <si>
    <t>Аренда офиса и склада</t>
  </si>
  <si>
    <t>Маркетинговые затраты</t>
  </si>
  <si>
    <t>менеджеры-консультанты</t>
  </si>
  <si>
    <t>прочие</t>
  </si>
  <si>
    <t>директор филиала</t>
  </si>
  <si>
    <t>технический специалист</t>
  </si>
  <si>
    <t>налоги на з/п</t>
  </si>
  <si>
    <t>Сумма выручки от реализации продукции</t>
  </si>
  <si>
    <t>Указано количество договоров, необходимое для получения определенной суммы доходов при фиксированном среднем чеке</t>
  </si>
  <si>
    <t>Себестоимость покупки потолков и комплектующих из расчета 25% от выручки</t>
  </si>
  <si>
    <t>Отношение себестоимости к выручке</t>
  </si>
  <si>
    <t>Сумма переменной части зарплат всех сотрудников</t>
  </si>
  <si>
    <t>З/п просчитана из расчета 3% от суммы выручки (оборота)</t>
  </si>
  <si>
    <t>З/п просчитана из расчета 2% от суммы выручки (оборота)</t>
  </si>
  <si>
    <t>Отношение переменной части зарплат всех сотрудников к сумме выручки (оборота)</t>
  </si>
  <si>
    <t>Сумма всех переменных затрат</t>
  </si>
  <si>
    <t>Расчет произведен из разности доходов и переменных расходов</t>
  </si>
  <si>
    <t>Процентное отношение маржинальной прибыли к доходам</t>
  </si>
  <si>
    <t>Постоянные расходы</t>
  </si>
  <si>
    <t>Сумма фиксированной части зарплат всех сотрудников</t>
  </si>
  <si>
    <t>Расходы на з/п сотрудников, не учтенных в данной модели</t>
  </si>
  <si>
    <t>Сумма постоянных и переменных расходов</t>
  </si>
  <si>
    <t>Разность выручки и общей суммы расходов</t>
  </si>
  <si>
    <t>Отношение операционной прибыли до налогов к выручке</t>
  </si>
  <si>
    <t>Указан из расчета 15% от операционной прибыли до налогов</t>
  </si>
  <si>
    <t>Сумма прибыли после вычета налогов</t>
  </si>
  <si>
    <t>Транспортные расходы</t>
  </si>
  <si>
    <t>Роялти</t>
  </si>
  <si>
    <t>Паушальный взнос</t>
  </si>
  <si>
    <t xml:space="preserve">З/п указана из расчета 10000р на человека с учетом ресурсного планирования </t>
  </si>
  <si>
    <t>Сумма расходов на персонал (зарплаты + налоги)</t>
  </si>
  <si>
    <t>Указаны из расчета 35% от фонда оплаты труда</t>
  </si>
  <si>
    <t>З/п указана из расчета 30000р на старт-ап и 25000р постоянная, появляется с 4-го месяца, до этого его функцию несет кто-либо из сотрудников</t>
  </si>
  <si>
    <t>З/п указана из расчета 10000р на человека с учетом ресурсного планирования, 
со 2 месяца - 1 консультант, с 4 месяца - 2 консультанта</t>
  </si>
  <si>
    <t>Взята сумма в 25000 из расчета среднего по регионам офиса в 20 кв.м.</t>
  </si>
  <si>
    <t xml:space="preserve">Просчитаны из расчета необходимой суммы доходов (1 000 000 руб.) при стоимости входящего контакта в 1000р, конверсии входящего в договор - 35% и сумме ср. чека 31200 (+30% от среднего по рынку) с 4-го месяца работы. Месяц 1 просчитан из расчета ср. чек - 24000р и конверсии в 15%. Месяц 2 просчитан из расчета ср. чек - 26400 (+10% от среднего по рынку - 24000р) и конверсии в 25%. Месяц 3 просчитан из расчета ср. чек - 28800 (+20% от среднего по рынку - 24000р) и конверсии в 30%. </t>
  </si>
  <si>
    <t>Выручка</t>
  </si>
  <si>
    <t>Прибыль</t>
  </si>
  <si>
    <t>Накопление</t>
  </si>
  <si>
    <t>Месяц</t>
  </si>
  <si>
    <t>Экономические расчёты офиса продаж натяжных потолков "SAROS DESIGN"</t>
  </si>
  <si>
    <t>Инвестиционные расходы</t>
  </si>
  <si>
    <t>Площадь объекта</t>
  </si>
  <si>
    <t>м2</t>
  </si>
  <si>
    <t>Дизайн-проект</t>
  </si>
  <si>
    <t>Прочие затраты на здания и сооружения</t>
  </si>
  <si>
    <t>Реклама</t>
  </si>
  <si>
    <t>Штендер</t>
  </si>
  <si>
    <t>Торговое оборудование</t>
  </si>
  <si>
    <t>Прочее торговое оборудование</t>
  </si>
  <si>
    <t>Компьютерное  оборудование и оргтехника</t>
  </si>
  <si>
    <t>Консультант</t>
  </si>
  <si>
    <t>Цена за шт</t>
  </si>
  <si>
    <t>Всего</t>
  </si>
  <si>
    <t>Компьютеры</t>
  </si>
  <si>
    <t>МФУ</t>
  </si>
  <si>
    <t>Кассовый аппарат</t>
  </si>
  <si>
    <t>Мебель</t>
  </si>
  <si>
    <t>Столы</t>
  </si>
  <si>
    <t>Шкафы</t>
  </si>
  <si>
    <t>Тумбочки</t>
  </si>
  <si>
    <t>Прочие элементы</t>
  </si>
  <si>
    <t>Спецодежда</t>
  </si>
  <si>
    <t>Стулья</t>
  </si>
  <si>
    <t>Кресла</t>
  </si>
  <si>
    <t>Монтаж демонстрационных стендов</t>
  </si>
  <si>
    <t>Материалы для демостендов</t>
  </si>
  <si>
    <t>Световые короба</t>
  </si>
  <si>
    <t>Вывеска световая</t>
  </si>
  <si>
    <t>Банеры</t>
  </si>
  <si>
    <t>Торговое оборудование (ККМ и т.п.)</t>
  </si>
  <si>
    <t>Каталоги, стойки и демостенды готовые</t>
  </si>
  <si>
    <t>Число рабочих мест</t>
  </si>
  <si>
    <t>Огртехника</t>
  </si>
  <si>
    <t>Оформление помещения</t>
  </si>
  <si>
    <t>Ремонт и отделка помещений</t>
  </si>
  <si>
    <t>Рентабельность</t>
  </si>
  <si>
    <t>Доля з/п в выручке</t>
  </si>
  <si>
    <t>Себестоимость</t>
  </si>
  <si>
    <t>Операционная прибыль</t>
  </si>
  <si>
    <t>Прибыль ИТОГО</t>
  </si>
  <si>
    <t>Прибыль накопительным итогом за период</t>
  </si>
  <si>
    <t>З/п просчитана из расчета 20% от суммы выручки (оборота)</t>
  </si>
  <si>
    <t>Операционная рентабельность</t>
  </si>
  <si>
    <t>Сумма выручки от реализации продукции (оборот)</t>
  </si>
  <si>
    <t>Взята сумма в 24000р из расчета среднего по регионам</t>
  </si>
  <si>
    <r>
      <t xml:space="preserve">Себестоимость </t>
    </r>
    <r>
      <rPr>
        <sz val="8"/>
        <rFont val="Arial Cyr"/>
        <charset val="204"/>
      </rPr>
      <t>(25% от суммы дог.)</t>
    </r>
  </si>
  <si>
    <t>Переменные затраты, в т.ч.</t>
  </si>
  <si>
    <t>Консультаны (2%)</t>
  </si>
  <si>
    <t>Замерщики (3%)</t>
  </si>
  <si>
    <t>Монтажные бригады (20%)</t>
  </si>
  <si>
    <t>Руководитель офиса продаж</t>
  </si>
  <si>
    <t>Руководитель офиса продаж (3%)</t>
  </si>
  <si>
    <t>Постоянные затраты, в т.ч.</t>
  </si>
  <si>
    <t>Консультаны</t>
  </si>
  <si>
    <t>Замерщики</t>
  </si>
  <si>
    <r>
      <t xml:space="preserve">налоги на з/п </t>
    </r>
    <r>
      <rPr>
        <sz val="8"/>
        <rFont val="Arial Cyr"/>
        <charset val="204"/>
      </rPr>
      <t>(35%)</t>
    </r>
  </si>
  <si>
    <t>Налог (УСН 15%)</t>
  </si>
  <si>
    <t>Расчёт точки безубыточности</t>
  </si>
  <si>
    <t>Точка безубыточности - 300 000 руб. (20 договоров по 15 000 руб)</t>
  </si>
  <si>
    <t>Комментарии к расчёту</t>
  </si>
  <si>
    <t>Расходы на оформление офиса продаж, текущие хозрасходы и пр.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</si>
</sst>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[Red]\-#,##0\ "/>
    <numFmt numFmtId="166" formatCode="#,##0&quot;р.&quot;"/>
    <numFmt numFmtId="167" formatCode="#,##0.00&quot;р.&quot;"/>
    <numFmt numFmtId="168" formatCode="_-* #,##0[$р.-419]_-;\-* #,##0[$р.-419]_-;_-* &quot;-&quot;??[$р.-419]_-;_-@_-"/>
    <numFmt numFmtId="169" formatCode="_-* #,##0.00[$р.-419]_-;\-* #,##0.00[$р.-419]_-;_-* &quot;-&quot;??[$р.-419]_-;_-@_-"/>
    <numFmt numFmtId="170" formatCode="_-* #,##0.0_р_._-;\-* #,##0.0_р_._-;_-* &quot;-&quot;??_р_._-;_-@_-"/>
    <numFmt numFmtId="171" formatCode="0_ ;\-0\ 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8"/>
      <color rgb="FFFF0000"/>
      <name val="Arial Cyr"/>
      <charset val="204"/>
    </font>
    <font>
      <b/>
      <sz val="12"/>
      <color rgb="FFFF6600"/>
      <name val="Arial Cyr"/>
      <charset val="204"/>
    </font>
    <font>
      <b/>
      <sz val="8"/>
      <color rgb="FFFF000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1"/>
      <name val="Arial Cyr"/>
      <charset val="204"/>
    </font>
    <font>
      <b/>
      <sz val="9"/>
      <color rgb="FFFF0000"/>
      <name val="Arial Cyr"/>
      <charset val="204"/>
    </font>
    <font>
      <b/>
      <sz val="11"/>
      <color rgb="FFFF0000"/>
      <name val="Arial Cyr"/>
      <charset val="204"/>
    </font>
    <font>
      <b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4" fontId="5" fillId="0" borderId="0" xfId="0" applyNumberFormat="1" applyFont="1" applyFill="1"/>
    <xf numFmtId="4" fontId="7" fillId="0" borderId="0" xfId="0" applyNumberFormat="1" applyFont="1" applyFill="1"/>
    <xf numFmtId="0" fontId="9" fillId="0" borderId="0" xfId="0" applyFont="1"/>
    <xf numFmtId="0" fontId="2" fillId="0" borderId="0" xfId="0" applyFont="1" applyFill="1"/>
    <xf numFmtId="3" fontId="3" fillId="0" borderId="8" xfId="0" applyNumberFormat="1" applyFont="1" applyFill="1" applyBorder="1"/>
    <xf numFmtId="4" fontId="8" fillId="0" borderId="0" xfId="0" applyNumberFormat="1" applyFont="1" applyFill="1"/>
    <xf numFmtId="3" fontId="3" fillId="0" borderId="6" xfId="0" applyNumberFormat="1" applyFont="1" applyFill="1" applyBorder="1"/>
    <xf numFmtId="0" fontId="3" fillId="0" borderId="11" xfId="0" applyFont="1" applyFill="1" applyBorder="1" applyAlignment="1"/>
    <xf numFmtId="0" fontId="3" fillId="0" borderId="13" xfId="0" applyFont="1" applyFill="1" applyBorder="1" applyAlignment="1"/>
    <xf numFmtId="4" fontId="5" fillId="2" borderId="0" xfId="0" applyNumberFormat="1" applyFont="1" applyFill="1"/>
    <xf numFmtId="0" fontId="5" fillId="0" borderId="0" xfId="0" applyFont="1" applyFill="1" applyBorder="1" applyAlignment="1">
      <alignment vertical="center" wrapText="1"/>
    </xf>
    <xf numFmtId="3" fontId="2" fillId="0" borderId="0" xfId="0" applyNumberFormat="1" applyFont="1" applyBorder="1"/>
    <xf numFmtId="9" fontId="2" fillId="0" borderId="0" xfId="2" applyFont="1" applyBorder="1"/>
    <xf numFmtId="0" fontId="0" fillId="0" borderId="0" xfId="0" applyFont="1"/>
    <xf numFmtId="164" fontId="3" fillId="0" borderId="5" xfId="2" applyNumberFormat="1" applyFont="1" applyFill="1" applyBorder="1"/>
    <xf numFmtId="9" fontId="3" fillId="0" borderId="17" xfId="2" applyNumberFormat="1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166" fontId="2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vertical="center" wrapText="1"/>
    </xf>
    <xf numFmtId="168" fontId="3" fillId="0" borderId="26" xfId="1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wrapText="1"/>
    </xf>
    <xf numFmtId="168" fontId="2" fillId="0" borderId="26" xfId="1" applyNumberFormat="1" applyFont="1" applyFill="1" applyBorder="1" applyAlignment="1">
      <alignment wrapText="1"/>
    </xf>
    <xf numFmtId="168" fontId="2" fillId="0" borderId="26" xfId="0" applyNumberFormat="1" applyFont="1" applyFill="1" applyBorder="1"/>
    <xf numFmtId="0" fontId="13" fillId="0" borderId="26" xfId="0" applyFont="1" applyFill="1" applyBorder="1" applyAlignment="1">
      <alignment wrapText="1"/>
    </xf>
    <xf numFmtId="168" fontId="13" fillId="0" borderId="26" xfId="1" applyNumberFormat="1" applyFont="1" applyFill="1" applyBorder="1" applyAlignment="1">
      <alignment wrapText="1"/>
    </xf>
    <xf numFmtId="0" fontId="12" fillId="0" borderId="0" xfId="0" applyFont="1" applyFill="1"/>
    <xf numFmtId="169" fontId="2" fillId="0" borderId="0" xfId="0" applyNumberFormat="1" applyFont="1" applyFill="1"/>
    <xf numFmtId="0" fontId="2" fillId="0" borderId="26" xfId="0" applyFont="1" applyFill="1" applyBorder="1"/>
    <xf numFmtId="3" fontId="2" fillId="0" borderId="26" xfId="0" applyNumberFormat="1" applyFont="1" applyFill="1" applyBorder="1" applyAlignment="1">
      <alignment horizontal="center"/>
    </xf>
    <xf numFmtId="166" fontId="2" fillId="0" borderId="0" xfId="0" applyNumberFormat="1" applyFont="1" applyFill="1"/>
    <xf numFmtId="166" fontId="2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/>
    <xf numFmtId="169" fontId="0" fillId="0" borderId="0" xfId="1" applyNumberFormat="1" applyFont="1" applyFill="1"/>
    <xf numFmtId="0" fontId="2" fillId="0" borderId="0" xfId="0" applyFont="1" applyFill="1" applyAlignment="1">
      <alignment horizontal="center"/>
    </xf>
    <xf numFmtId="170" fontId="2" fillId="0" borderId="26" xfId="3" applyNumberFormat="1" applyFont="1" applyFill="1" applyBorder="1" applyAlignment="1">
      <alignment horizontal="center"/>
    </xf>
    <xf numFmtId="168" fontId="11" fillId="0" borderId="29" xfId="1" applyNumberFormat="1" applyFont="1" applyFill="1" applyBorder="1" applyAlignment="1">
      <alignment vertical="center" wrapText="1"/>
    </xf>
    <xf numFmtId="168" fontId="3" fillId="0" borderId="29" xfId="1" applyNumberFormat="1" applyFont="1" applyFill="1" applyBorder="1" applyAlignment="1">
      <alignment vertical="center" wrapText="1"/>
    </xf>
    <xf numFmtId="168" fontId="2" fillId="0" borderId="29" xfId="1" applyNumberFormat="1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14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/>
    </xf>
    <xf numFmtId="0" fontId="5" fillId="0" borderId="10" xfId="0" applyFont="1" applyFill="1" applyBorder="1" applyAlignment="1"/>
    <xf numFmtId="3" fontId="5" fillId="0" borderId="8" xfId="0" applyNumberFormat="1" applyFont="1" applyFill="1" applyBorder="1"/>
    <xf numFmtId="9" fontId="3" fillId="0" borderId="5" xfId="2" applyFont="1" applyFill="1" applyBorder="1"/>
    <xf numFmtId="4" fontId="3" fillId="0" borderId="10" xfId="0" applyNumberFormat="1" applyFont="1" applyFill="1" applyBorder="1" applyAlignment="1"/>
    <xf numFmtId="3" fontId="3" fillId="0" borderId="4" xfId="0" applyNumberFormat="1" applyFont="1" applyFill="1" applyBorder="1"/>
    <xf numFmtId="9" fontId="3" fillId="0" borderId="1" xfId="2" applyFont="1" applyFill="1" applyBorder="1"/>
    <xf numFmtId="0" fontId="4" fillId="0" borderId="11" xfId="0" applyFont="1" applyFill="1" applyBorder="1" applyAlignment="1">
      <alignment horizontal="right"/>
    </xf>
    <xf numFmtId="3" fontId="4" fillId="0" borderId="8" xfId="0" applyNumberFormat="1" applyFont="1" applyFill="1" applyBorder="1"/>
    <xf numFmtId="9" fontId="2" fillId="0" borderId="5" xfId="2" applyFont="1" applyFill="1" applyBorder="1"/>
    <xf numFmtId="3" fontId="3" fillId="0" borderId="9" xfId="0" applyNumberFormat="1" applyFont="1" applyFill="1" applyBorder="1"/>
    <xf numFmtId="9" fontId="3" fillId="0" borderId="2" xfId="2" applyFont="1" applyFill="1" applyBorder="1"/>
    <xf numFmtId="4" fontId="5" fillId="0" borderId="10" xfId="0" applyNumberFormat="1" applyFont="1" applyFill="1" applyBorder="1" applyAlignment="1"/>
    <xf numFmtId="9" fontId="3" fillId="0" borderId="3" xfId="2" applyFont="1" applyFill="1" applyBorder="1"/>
    <xf numFmtId="0" fontId="3" fillId="0" borderId="12" xfId="0" applyFont="1" applyFill="1" applyBorder="1" applyAlignment="1"/>
    <xf numFmtId="0" fontId="9" fillId="0" borderId="11" xfId="0" applyFont="1" applyFill="1" applyBorder="1" applyAlignment="1">
      <alignment horizontal="right"/>
    </xf>
    <xf numFmtId="3" fontId="9" fillId="0" borderId="4" xfId="0" applyNumberFormat="1" applyFont="1" applyFill="1" applyBorder="1"/>
    <xf numFmtId="9" fontId="9" fillId="0" borderId="3" xfId="2" applyFont="1" applyFill="1" applyBorder="1"/>
    <xf numFmtId="4" fontId="7" fillId="0" borderId="10" xfId="0" applyNumberFormat="1" applyFont="1" applyFill="1" applyBorder="1" applyAlignment="1">
      <alignment wrapText="1"/>
    </xf>
    <xf numFmtId="9" fontId="7" fillId="0" borderId="3" xfId="2" applyFont="1" applyFill="1" applyBorder="1"/>
    <xf numFmtId="0" fontId="2" fillId="0" borderId="11" xfId="0" applyFont="1" applyFill="1" applyBorder="1" applyAlignment="1"/>
    <xf numFmtId="3" fontId="2" fillId="0" borderId="4" xfId="0" applyNumberFormat="1" applyFont="1" applyFill="1" applyBorder="1"/>
    <xf numFmtId="9" fontId="2" fillId="0" borderId="3" xfId="2" applyFont="1" applyFill="1" applyBorder="1"/>
    <xf numFmtId="0" fontId="2" fillId="0" borderId="13" xfId="0" applyFont="1" applyFill="1" applyBorder="1" applyAlignment="1"/>
    <xf numFmtId="4" fontId="7" fillId="0" borderId="10" xfId="0" applyNumberFormat="1" applyFont="1" applyFill="1" applyBorder="1" applyAlignment="1"/>
    <xf numFmtId="1" fontId="3" fillId="0" borderId="4" xfId="2" applyNumberFormat="1" applyFont="1" applyFill="1" applyBorder="1"/>
    <xf numFmtId="4" fontId="8" fillId="0" borderId="10" xfId="0" applyNumberFormat="1" applyFont="1" applyFill="1" applyBorder="1" applyAlignment="1"/>
    <xf numFmtId="9" fontId="8" fillId="0" borderId="4" xfId="2" applyFont="1" applyFill="1" applyBorder="1"/>
    <xf numFmtId="9" fontId="8" fillId="0" borderId="3" xfId="2" applyFont="1" applyFill="1" applyBorder="1"/>
    <xf numFmtId="164" fontId="3" fillId="0" borderId="3" xfId="2" applyNumberFormat="1" applyFont="1" applyFill="1" applyBorder="1"/>
    <xf numFmtId="164" fontId="3" fillId="0" borderId="16" xfId="2" applyNumberFormat="1" applyFont="1" applyFill="1" applyBorder="1"/>
    <xf numFmtId="3" fontId="2" fillId="0" borderId="8" xfId="0" applyNumberFormat="1" applyFont="1" applyFill="1" applyBorder="1"/>
    <xf numFmtId="164" fontId="2" fillId="0" borderId="5" xfId="2" applyNumberFormat="1" applyFont="1" applyFill="1" applyBorder="1"/>
    <xf numFmtId="165" fontId="5" fillId="0" borderId="4" xfId="0" applyNumberFormat="1" applyFont="1" applyFill="1" applyBorder="1"/>
    <xf numFmtId="0" fontId="5" fillId="0" borderId="12" xfId="0" applyFont="1" applyFill="1" applyBorder="1" applyAlignment="1">
      <alignment vertical="center" wrapText="1"/>
    </xf>
    <xf numFmtId="10" fontId="3" fillId="0" borderId="15" xfId="0" applyNumberFormat="1" applyFont="1" applyFill="1" applyBorder="1"/>
    <xf numFmtId="164" fontId="3" fillId="0" borderId="18" xfId="2" applyNumberFormat="1" applyFont="1" applyFill="1" applyBorder="1"/>
    <xf numFmtId="9" fontId="3" fillId="0" borderId="15" xfId="0" applyNumberFormat="1" applyFont="1" applyFill="1" applyBorder="1"/>
    <xf numFmtId="0" fontId="3" fillId="0" borderId="14" xfId="0" applyFont="1" applyFill="1" applyBorder="1"/>
    <xf numFmtId="4" fontId="3" fillId="0" borderId="7" xfId="0" applyNumberFormat="1" applyFont="1" applyFill="1" applyBorder="1"/>
    <xf numFmtId="164" fontId="3" fillId="0" borderId="19" xfId="2" applyNumberFormat="1" applyFont="1" applyFill="1" applyBorder="1"/>
    <xf numFmtId="4" fontId="5" fillId="3" borderId="10" xfId="0" applyNumberFormat="1" applyFont="1" applyFill="1" applyBorder="1" applyAlignment="1"/>
    <xf numFmtId="3" fontId="5" fillId="3" borderId="4" xfId="0" applyNumberFormat="1" applyFont="1" applyFill="1" applyBorder="1"/>
    <xf numFmtId="9" fontId="3" fillId="3" borderId="3" xfId="2" applyFont="1" applyFill="1" applyBorder="1"/>
    <xf numFmtId="0" fontId="3" fillId="0" borderId="21" xfId="0" applyFont="1" applyFill="1" applyBorder="1" applyAlignment="1">
      <alignment vertical="center" wrapText="1"/>
    </xf>
    <xf numFmtId="3" fontId="3" fillId="0" borderId="22" xfId="0" applyNumberFormat="1" applyFont="1" applyFill="1" applyBorder="1"/>
    <xf numFmtId="3" fontId="3" fillId="0" borderId="21" xfId="0" applyNumberFormat="1" applyFont="1" applyFill="1" applyBorder="1"/>
    <xf numFmtId="3" fontId="3" fillId="0" borderId="22" xfId="0" applyNumberFormat="1" applyFont="1" applyFill="1" applyBorder="1" applyAlignment="1">
      <alignment vertical="center"/>
    </xf>
    <xf numFmtId="164" fontId="3" fillId="0" borderId="23" xfId="2" applyNumberFormat="1" applyFont="1" applyFill="1" applyBorder="1" applyAlignment="1">
      <alignment vertical="center"/>
    </xf>
    <xf numFmtId="171" fontId="6" fillId="0" borderId="24" xfId="3" applyNumberFormat="1" applyFont="1" applyFill="1" applyBorder="1" applyAlignment="1">
      <alignment horizontal="center"/>
    </xf>
    <xf numFmtId="0" fontId="2" fillId="0" borderId="26" xfId="0" applyFont="1" applyBorder="1" applyAlignment="1">
      <alignment vertical="top" wrapText="1"/>
    </xf>
    <xf numFmtId="0" fontId="3" fillId="0" borderId="26" xfId="0" applyFont="1" applyFill="1" applyBorder="1" applyAlignment="1">
      <alignment vertical="top"/>
    </xf>
    <xf numFmtId="0" fontId="5" fillId="0" borderId="26" xfId="0" applyFont="1" applyFill="1" applyBorder="1" applyAlignment="1">
      <alignment vertical="top" wrapText="1"/>
    </xf>
    <xf numFmtId="0" fontId="3" fillId="0" borderId="2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/>
    </xf>
    <xf numFmtId="3" fontId="5" fillId="3" borderId="25" xfId="0" applyNumberFormat="1" applyFont="1" applyFill="1" applyBorder="1" applyAlignment="1"/>
    <xf numFmtId="4" fontId="5" fillId="3" borderId="9" xfId="0" applyNumberFormat="1" applyFont="1" applyFill="1" applyBorder="1" applyAlignment="1"/>
    <xf numFmtId="3" fontId="5" fillId="3" borderId="29" xfId="0" applyNumberFormat="1" applyFont="1" applyFill="1" applyBorder="1"/>
    <xf numFmtId="3" fontId="5" fillId="3" borderId="26" xfId="0" applyNumberFormat="1" applyFont="1" applyFill="1" applyBorder="1" applyAlignment="1"/>
    <xf numFmtId="9" fontId="7" fillId="0" borderId="4" xfId="2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" fillId="3" borderId="13" xfId="0" applyFont="1" applyFill="1" applyBorder="1" applyAlignment="1"/>
    <xf numFmtId="3" fontId="5" fillId="3" borderId="6" xfId="0" applyNumberFormat="1" applyFont="1" applyFill="1" applyBorder="1"/>
    <xf numFmtId="164" fontId="3" fillId="3" borderId="17" xfId="2" applyNumberFormat="1" applyFont="1" applyFill="1" applyBorder="1"/>
    <xf numFmtId="171" fontId="6" fillId="0" borderId="20" xfId="3" applyNumberFormat="1" applyFont="1" applyFill="1" applyBorder="1" applyAlignment="1">
      <alignment horizontal="center"/>
    </xf>
    <xf numFmtId="3" fontId="5" fillId="0" borderId="11" xfId="0" applyNumberFormat="1" applyFont="1" applyFill="1" applyBorder="1"/>
    <xf numFmtId="3" fontId="3" fillId="0" borderId="10" xfId="0" applyNumberFormat="1" applyFont="1" applyFill="1" applyBorder="1"/>
    <xf numFmtId="3" fontId="4" fillId="0" borderId="11" xfId="0" applyNumberFormat="1" applyFont="1" applyFill="1" applyBorder="1"/>
    <xf numFmtId="3" fontId="3" fillId="0" borderId="12" xfId="0" applyNumberFormat="1" applyFont="1" applyFill="1" applyBorder="1"/>
    <xf numFmtId="3" fontId="5" fillId="3" borderId="10" xfId="0" applyNumberFormat="1" applyFont="1" applyFill="1" applyBorder="1"/>
    <xf numFmtId="3" fontId="5" fillId="3" borderId="3" xfId="0" applyNumberFormat="1" applyFont="1" applyFill="1" applyBorder="1" applyAlignment="1"/>
    <xf numFmtId="3" fontId="9" fillId="0" borderId="10" xfId="0" applyNumberFormat="1" applyFont="1" applyFill="1" applyBorder="1"/>
    <xf numFmtId="9" fontId="7" fillId="0" borderId="10" xfId="2" applyFont="1" applyFill="1" applyBorder="1" applyAlignment="1">
      <alignment horizontal="center"/>
    </xf>
    <xf numFmtId="3" fontId="2" fillId="0" borderId="10" xfId="0" applyNumberFormat="1" applyFont="1" applyFill="1" applyBorder="1"/>
    <xf numFmtId="1" fontId="3" fillId="0" borderId="10" xfId="2" applyNumberFormat="1" applyFont="1" applyFill="1" applyBorder="1"/>
    <xf numFmtId="9" fontId="8" fillId="0" borderId="10" xfId="2" applyFont="1" applyFill="1" applyBorder="1"/>
    <xf numFmtId="3" fontId="5" fillId="3" borderId="10" xfId="0" applyNumberFormat="1" applyFont="1" applyFill="1" applyBorder="1" applyAlignment="1"/>
    <xf numFmtId="3" fontId="3" fillId="0" borderId="11" xfId="0" applyNumberFormat="1" applyFont="1" applyFill="1" applyBorder="1"/>
    <xf numFmtId="3" fontId="2" fillId="0" borderId="11" xfId="0" applyNumberFormat="1" applyFont="1" applyFill="1" applyBorder="1"/>
    <xf numFmtId="3" fontId="3" fillId="0" borderId="13" xfId="0" applyNumberFormat="1" applyFont="1" applyFill="1" applyBorder="1"/>
    <xf numFmtId="3" fontId="5" fillId="3" borderId="13" xfId="0" applyNumberFormat="1" applyFont="1" applyFill="1" applyBorder="1"/>
    <xf numFmtId="165" fontId="5" fillId="0" borderId="10" xfId="0" applyNumberFormat="1" applyFont="1" applyFill="1" applyBorder="1"/>
    <xf numFmtId="10" fontId="3" fillId="0" borderId="12" xfId="0" applyNumberFormat="1" applyFont="1" applyFill="1" applyBorder="1"/>
    <xf numFmtId="4" fontId="3" fillId="0" borderId="14" xfId="0" applyNumberFormat="1" applyFont="1" applyFill="1" applyBorder="1"/>
    <xf numFmtId="3" fontId="3" fillId="0" borderId="21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3" fontId="0" fillId="0" borderId="26" xfId="0" applyNumberFormat="1" applyBorder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4" fontId="3" fillId="0" borderId="26" xfId="0" applyNumberFormat="1" applyFont="1" applyFill="1" applyBorder="1" applyAlignment="1">
      <alignment vertical="top"/>
    </xf>
    <xf numFmtId="0" fontId="4" fillId="0" borderId="26" xfId="0" applyFont="1" applyFill="1" applyBorder="1" applyAlignment="1">
      <alignment horizontal="right" vertical="top"/>
    </xf>
    <xf numFmtId="4" fontId="5" fillId="0" borderId="26" xfId="0" applyNumberFormat="1" applyFont="1" applyFill="1" applyBorder="1" applyAlignment="1">
      <alignment vertical="top"/>
    </xf>
    <xf numFmtId="4" fontId="7" fillId="0" borderId="26" xfId="0" applyNumberFormat="1" applyFont="1" applyFill="1" applyBorder="1" applyAlignment="1">
      <alignment vertical="top" wrapText="1"/>
    </xf>
    <xf numFmtId="4" fontId="7" fillId="0" borderId="26" xfId="0" applyNumberFormat="1" applyFont="1" applyFill="1" applyBorder="1" applyAlignment="1">
      <alignment vertical="top"/>
    </xf>
    <xf numFmtId="4" fontId="8" fillId="0" borderId="26" xfId="0" applyNumberFormat="1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left"/>
    </xf>
    <xf numFmtId="17" fontId="6" fillId="0" borderId="24" xfId="0" applyNumberFormat="1" applyFont="1" applyFill="1" applyBorder="1" applyAlignment="1">
      <alignment horizontal="center"/>
    </xf>
    <xf numFmtId="17" fontId="6" fillId="0" borderId="27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left"/>
    </xf>
  </cellXfs>
  <cellStyles count="4">
    <cellStyle name="Денежный" xfId="1" builtinId="4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График</a:t>
            </a:r>
            <a:r>
              <a:rPr lang="ru-RU" sz="1400" baseline="0"/>
              <a:t> д</a:t>
            </a:r>
            <a:r>
              <a:rPr lang="ru-RU" sz="1400"/>
              <a:t>енежного</a:t>
            </a:r>
            <a:r>
              <a:rPr lang="ru-RU" sz="1400" baseline="0"/>
              <a:t> потока</a:t>
            </a:r>
            <a:endParaRPr lang="ru-RU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График!$C$23</c:f>
              <c:strCache>
                <c:ptCount val="1"/>
                <c:pt idx="0">
                  <c:v>Месяц</c:v>
                </c:pt>
              </c:strCache>
            </c:strRef>
          </c:tx>
          <c:val>
            <c:numRef>
              <c:f>График!$C$24:$C$35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График!$D$23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19050"/>
          </c:spPr>
          <c:marker>
            <c:symbol val="square"/>
            <c:size val="5"/>
          </c:marker>
          <c:val>
            <c:numRef>
              <c:f>График!$D$24:$D$35</c:f>
              <c:numCache>
                <c:formatCode>#,##0</c:formatCode>
                <c:ptCount val="12"/>
                <c:pt idx="0">
                  <c:v>48000</c:v>
                </c:pt>
                <c:pt idx="1">
                  <c:v>528000</c:v>
                </c:pt>
                <c:pt idx="2">
                  <c:v>806400</c:v>
                </c:pt>
                <c:pt idx="3">
                  <c:v>1029600</c:v>
                </c:pt>
                <c:pt idx="4">
                  <c:v>1029600</c:v>
                </c:pt>
                <c:pt idx="5">
                  <c:v>1029600</c:v>
                </c:pt>
                <c:pt idx="6">
                  <c:v>1029600</c:v>
                </c:pt>
                <c:pt idx="7">
                  <c:v>1029600</c:v>
                </c:pt>
                <c:pt idx="8">
                  <c:v>1029600</c:v>
                </c:pt>
                <c:pt idx="9">
                  <c:v>1029600</c:v>
                </c:pt>
                <c:pt idx="10">
                  <c:v>1029600</c:v>
                </c:pt>
                <c:pt idx="11">
                  <c:v>1029600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График!$E$23</c:f>
              <c:strCache>
                <c:ptCount val="1"/>
                <c:pt idx="0">
                  <c:v>Прибыль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val>
            <c:numRef>
              <c:f>График!$E$24:$E$35</c:f>
              <c:numCache>
                <c:formatCode>#,##0</c:formatCode>
                <c:ptCount val="12"/>
                <c:pt idx="0">
                  <c:v>-358240</c:v>
                </c:pt>
                <c:pt idx="1">
                  <c:v>64481</c:v>
                </c:pt>
                <c:pt idx="2">
                  <c:v>174222.8</c:v>
                </c:pt>
                <c:pt idx="3">
                  <c:v>250062.59285714282</c:v>
                </c:pt>
                <c:pt idx="4">
                  <c:v>250062.59285714282</c:v>
                </c:pt>
                <c:pt idx="5">
                  <c:v>250062.59285714282</c:v>
                </c:pt>
                <c:pt idx="6">
                  <c:v>250062.59285714282</c:v>
                </c:pt>
                <c:pt idx="7">
                  <c:v>250062.59285714282</c:v>
                </c:pt>
                <c:pt idx="8">
                  <c:v>250062.59285714282</c:v>
                </c:pt>
                <c:pt idx="9">
                  <c:v>250062.59285714282</c:v>
                </c:pt>
                <c:pt idx="10">
                  <c:v>250062.59285714282</c:v>
                </c:pt>
                <c:pt idx="11">
                  <c:v>250062.59285714282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График!$F$23</c:f>
              <c:strCache>
                <c:ptCount val="1"/>
                <c:pt idx="0">
                  <c:v>Накопление</c:v>
                </c:pt>
              </c:strCache>
            </c:strRef>
          </c:tx>
          <c:spPr>
            <a:ln w="19050"/>
          </c:spPr>
          <c:marker>
            <c:symbol val="star"/>
            <c:size val="5"/>
          </c:marker>
          <c:val>
            <c:numRef>
              <c:f>График!$F$24:$F$35</c:f>
              <c:numCache>
                <c:formatCode>#,##0</c:formatCode>
                <c:ptCount val="12"/>
                <c:pt idx="0">
                  <c:v>-358240</c:v>
                </c:pt>
                <c:pt idx="1">
                  <c:v>-293759</c:v>
                </c:pt>
                <c:pt idx="2">
                  <c:v>-119536.20000000001</c:v>
                </c:pt>
                <c:pt idx="3">
                  <c:v>130526.39285714281</c:v>
                </c:pt>
                <c:pt idx="4">
                  <c:v>380588.98571428563</c:v>
                </c:pt>
                <c:pt idx="5">
                  <c:v>630651.57857142843</c:v>
                </c:pt>
                <c:pt idx="6">
                  <c:v>880714.17142857122</c:v>
                </c:pt>
                <c:pt idx="7">
                  <c:v>1130776.7642857141</c:v>
                </c:pt>
                <c:pt idx="8">
                  <c:v>1380839.357142857</c:v>
                </c:pt>
                <c:pt idx="9">
                  <c:v>1630901.95</c:v>
                </c:pt>
                <c:pt idx="10">
                  <c:v>1880964.5428571429</c:v>
                </c:pt>
                <c:pt idx="11">
                  <c:v>2131027.1357142855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60640"/>
        <c:axId val="99316864"/>
      </c:lineChart>
      <c:catAx>
        <c:axId val="116960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9316864"/>
        <c:crosses val="autoZero"/>
        <c:auto val="1"/>
        <c:lblAlgn val="ctr"/>
        <c:lblOffset val="100"/>
        <c:noMultiLvlLbl val="0"/>
      </c:catAx>
      <c:valAx>
        <c:axId val="99316864"/>
        <c:scaling>
          <c:orientation val="minMax"/>
          <c:min val="-7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69606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66674</xdr:rowOff>
    </xdr:from>
    <xdr:to>
      <xdr:col>7</xdr:col>
      <xdr:colOff>457200</xdr:colOff>
      <xdr:row>20</xdr:row>
      <xdr:rowOff>47624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42"/>
  <sheetViews>
    <sheetView tabSelected="1" workbookViewId="0">
      <selection activeCell="B33" sqref="B33"/>
    </sheetView>
  </sheetViews>
  <sheetFormatPr defaultColWidth="10.7109375" defaultRowHeight="11.25" outlineLevelRow="3" x14ac:dyDescent="0.2"/>
  <cols>
    <col min="1" max="1" width="29.42578125" style="1" bestFit="1" customWidth="1"/>
    <col min="2" max="2" width="8.42578125" style="4" bestFit="1" customWidth="1"/>
    <col min="3" max="3" width="8.140625" style="4" customWidth="1"/>
    <col min="4" max="4" width="7.85546875" style="4" bestFit="1" customWidth="1"/>
    <col min="5" max="13" width="8.85546875" style="4" bestFit="1" customWidth="1"/>
    <col min="14" max="14" width="9.85546875" style="4" bestFit="1" customWidth="1"/>
    <col min="15" max="15" width="5.28515625" style="4" bestFit="1" customWidth="1"/>
    <col min="16" max="16384" width="10.7109375" style="1"/>
  </cols>
  <sheetData>
    <row r="1" spans="1:15" ht="15.75" thickBot="1" x14ac:dyDescent="0.3">
      <c r="A1" s="164" t="s">
        <v>62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s="7" customFormat="1" ht="12.75" x14ac:dyDescent="0.2">
      <c r="A2" s="61" t="s">
        <v>1</v>
      </c>
      <c r="B2" s="110">
        <v>1</v>
      </c>
      <c r="C2" s="110">
        <v>2</v>
      </c>
      <c r="D2" s="110">
        <v>3</v>
      </c>
      <c r="E2" s="110">
        <v>4</v>
      </c>
      <c r="F2" s="110">
        <v>5</v>
      </c>
      <c r="G2" s="110">
        <v>6</v>
      </c>
      <c r="H2" s="110">
        <v>7</v>
      </c>
      <c r="I2" s="110">
        <v>8</v>
      </c>
      <c r="J2" s="110">
        <v>9</v>
      </c>
      <c r="K2" s="110">
        <v>10</v>
      </c>
      <c r="L2" s="110">
        <v>11</v>
      </c>
      <c r="M2" s="110">
        <v>12</v>
      </c>
      <c r="N2" s="165" t="s">
        <v>2</v>
      </c>
      <c r="O2" s="166"/>
    </row>
    <row r="3" spans="1:15" s="6" customFormat="1" ht="12" hidden="1" x14ac:dyDescent="0.2">
      <c r="A3" s="62" t="s">
        <v>11</v>
      </c>
      <c r="B3" s="63">
        <f>B4</f>
        <v>48000</v>
      </c>
      <c r="C3" s="63">
        <f>C4</f>
        <v>528000</v>
      </c>
      <c r="D3" s="63">
        <f t="shared" ref="D3:M3" si="0">D4</f>
        <v>806400</v>
      </c>
      <c r="E3" s="63">
        <f t="shared" si="0"/>
        <v>1029600</v>
      </c>
      <c r="F3" s="63">
        <f t="shared" si="0"/>
        <v>1029600</v>
      </c>
      <c r="G3" s="63">
        <f t="shared" si="0"/>
        <v>1029600</v>
      </c>
      <c r="H3" s="63">
        <f t="shared" si="0"/>
        <v>1029600</v>
      </c>
      <c r="I3" s="63">
        <f t="shared" si="0"/>
        <v>1029600</v>
      </c>
      <c r="J3" s="63">
        <f t="shared" si="0"/>
        <v>1029600</v>
      </c>
      <c r="K3" s="63">
        <f t="shared" si="0"/>
        <v>1029600</v>
      </c>
      <c r="L3" s="63">
        <f t="shared" si="0"/>
        <v>1029600</v>
      </c>
      <c r="M3" s="63">
        <f t="shared" si="0"/>
        <v>1029600</v>
      </c>
      <c r="N3" s="63">
        <f>M3+L3+K3+J3+I3+H3+G3+F3+E3+D3+C3+B3</f>
        <v>10648800</v>
      </c>
      <c r="O3" s="64">
        <f>N3/N$3</f>
        <v>1</v>
      </c>
    </row>
    <row r="4" spans="1:15" s="5" customFormat="1" collapsed="1" x14ac:dyDescent="0.2">
      <c r="A4" s="65" t="s">
        <v>0</v>
      </c>
      <c r="B4" s="66">
        <f t="shared" ref="B4:M4" si="1">B5*B6</f>
        <v>48000</v>
      </c>
      <c r="C4" s="66">
        <f t="shared" si="1"/>
        <v>528000</v>
      </c>
      <c r="D4" s="66">
        <f t="shared" si="1"/>
        <v>806400</v>
      </c>
      <c r="E4" s="66">
        <f t="shared" si="1"/>
        <v>1029600</v>
      </c>
      <c r="F4" s="66">
        <f t="shared" si="1"/>
        <v>1029600</v>
      </c>
      <c r="G4" s="66">
        <f t="shared" si="1"/>
        <v>1029600</v>
      </c>
      <c r="H4" s="66">
        <f t="shared" si="1"/>
        <v>1029600</v>
      </c>
      <c r="I4" s="66">
        <f t="shared" si="1"/>
        <v>1029600</v>
      </c>
      <c r="J4" s="66">
        <f t="shared" si="1"/>
        <v>1029600</v>
      </c>
      <c r="K4" s="66">
        <f t="shared" si="1"/>
        <v>1029600</v>
      </c>
      <c r="L4" s="66">
        <f t="shared" si="1"/>
        <v>1029600</v>
      </c>
      <c r="M4" s="66">
        <f t="shared" si="1"/>
        <v>1029600</v>
      </c>
      <c r="N4" s="66">
        <f>SUM(B4:M4)</f>
        <v>10648800</v>
      </c>
      <c r="O4" s="67">
        <f>N4/N$3</f>
        <v>1</v>
      </c>
    </row>
    <row r="5" spans="1:15" s="3" customFormat="1" outlineLevel="1" x14ac:dyDescent="0.2">
      <c r="A5" s="68" t="s">
        <v>3</v>
      </c>
      <c r="B5" s="69">
        <v>24000</v>
      </c>
      <c r="C5" s="69">
        <v>26400</v>
      </c>
      <c r="D5" s="69">
        <v>28800</v>
      </c>
      <c r="E5" s="69">
        <v>31200</v>
      </c>
      <c r="F5" s="69">
        <v>31200</v>
      </c>
      <c r="G5" s="69">
        <v>31200</v>
      </c>
      <c r="H5" s="69">
        <v>31200</v>
      </c>
      <c r="I5" s="69">
        <v>31200</v>
      </c>
      <c r="J5" s="69">
        <v>31200</v>
      </c>
      <c r="K5" s="69">
        <v>31200</v>
      </c>
      <c r="L5" s="69">
        <v>31200</v>
      </c>
      <c r="M5" s="69">
        <v>31200</v>
      </c>
      <c r="N5" s="69">
        <f>(M5+L5+K5+J5+I5+H5+G5+F5+E5+D5+C5+B5)/12</f>
        <v>30000</v>
      </c>
      <c r="O5" s="70">
        <f>N5/N$3</f>
        <v>2.8172188415596122E-3</v>
      </c>
    </row>
    <row r="6" spans="1:15" s="3" customFormat="1" outlineLevel="1" x14ac:dyDescent="0.2">
      <c r="A6" s="68" t="s">
        <v>4</v>
      </c>
      <c r="B6" s="69">
        <v>2</v>
      </c>
      <c r="C6" s="69">
        <v>20</v>
      </c>
      <c r="D6" s="69">
        <v>28</v>
      </c>
      <c r="E6" s="69">
        <v>33</v>
      </c>
      <c r="F6" s="69">
        <v>33</v>
      </c>
      <c r="G6" s="69">
        <v>33</v>
      </c>
      <c r="H6" s="69">
        <v>33</v>
      </c>
      <c r="I6" s="69">
        <v>33</v>
      </c>
      <c r="J6" s="69">
        <v>33</v>
      </c>
      <c r="K6" s="69">
        <v>33</v>
      </c>
      <c r="L6" s="69">
        <v>33</v>
      </c>
      <c r="M6" s="69">
        <v>33</v>
      </c>
      <c r="N6" s="69">
        <f>M6+L6+K6+J6+I6+H6+G6+F6+E6+D6+C6+B6</f>
        <v>347</v>
      </c>
      <c r="O6" s="70">
        <f>N6/N$3</f>
        <v>3.2585831267372848E-5</v>
      </c>
    </row>
    <row r="7" spans="1:15" s="5" customFormat="1" hidden="1" outlineLevel="1" x14ac:dyDescent="0.2">
      <c r="A7" s="65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</row>
    <row r="8" spans="1:15" s="9" customFormat="1" ht="12" collapsed="1" x14ac:dyDescent="0.2">
      <c r="A8" s="102" t="s">
        <v>21</v>
      </c>
      <c r="B8" s="103">
        <f t="shared" ref="B8:M8" si="2">B4+B7</f>
        <v>48000</v>
      </c>
      <c r="C8" s="103">
        <f t="shared" si="2"/>
        <v>528000</v>
      </c>
      <c r="D8" s="103">
        <f t="shared" si="2"/>
        <v>806400</v>
      </c>
      <c r="E8" s="103">
        <f t="shared" si="2"/>
        <v>1029600</v>
      </c>
      <c r="F8" s="103">
        <f t="shared" si="2"/>
        <v>1029600</v>
      </c>
      <c r="G8" s="103">
        <f t="shared" si="2"/>
        <v>1029600</v>
      </c>
      <c r="H8" s="103">
        <f t="shared" si="2"/>
        <v>1029600</v>
      </c>
      <c r="I8" s="103">
        <f t="shared" si="2"/>
        <v>1029600</v>
      </c>
      <c r="J8" s="103">
        <f t="shared" si="2"/>
        <v>1029600</v>
      </c>
      <c r="K8" s="103">
        <f t="shared" si="2"/>
        <v>1029600</v>
      </c>
      <c r="L8" s="103">
        <f t="shared" si="2"/>
        <v>1029600</v>
      </c>
      <c r="M8" s="103">
        <f t="shared" si="2"/>
        <v>1029600</v>
      </c>
      <c r="N8" s="103">
        <f>N3</f>
        <v>10648800</v>
      </c>
      <c r="O8" s="104">
        <f>N8/N$3</f>
        <v>1</v>
      </c>
    </row>
    <row r="9" spans="1:15" s="9" customFormat="1" ht="12" x14ac:dyDescent="0.2">
      <c r="A9" s="118" t="s">
        <v>109</v>
      </c>
      <c r="B9" s="120">
        <f>B10+B13+B19</f>
        <v>25740</v>
      </c>
      <c r="C9" s="120">
        <f t="shared" ref="C9:M9" si="3">C10+C13+C19</f>
        <v>283140</v>
      </c>
      <c r="D9" s="120">
        <f t="shared" si="3"/>
        <v>432432</v>
      </c>
      <c r="E9" s="120">
        <f t="shared" si="3"/>
        <v>552123</v>
      </c>
      <c r="F9" s="120">
        <f t="shared" si="3"/>
        <v>552123</v>
      </c>
      <c r="G9" s="120">
        <f t="shared" si="3"/>
        <v>552123</v>
      </c>
      <c r="H9" s="120">
        <f t="shared" si="3"/>
        <v>552123</v>
      </c>
      <c r="I9" s="120">
        <f t="shared" si="3"/>
        <v>552123</v>
      </c>
      <c r="J9" s="120">
        <f t="shared" si="3"/>
        <v>552123</v>
      </c>
      <c r="K9" s="120">
        <f t="shared" si="3"/>
        <v>552123</v>
      </c>
      <c r="L9" s="120">
        <f t="shared" si="3"/>
        <v>552123</v>
      </c>
      <c r="M9" s="120">
        <f t="shared" si="3"/>
        <v>552123</v>
      </c>
      <c r="N9" s="119"/>
      <c r="O9" s="104"/>
    </row>
    <row r="10" spans="1:15" s="2" customFormat="1" x14ac:dyDescent="0.2">
      <c r="A10" s="75" t="s">
        <v>108</v>
      </c>
      <c r="B10" s="66">
        <f t="shared" ref="B10:M10" si="4">B3*B12</f>
        <v>12000</v>
      </c>
      <c r="C10" s="66">
        <f t="shared" si="4"/>
        <v>132000</v>
      </c>
      <c r="D10" s="66">
        <f t="shared" si="4"/>
        <v>201600</v>
      </c>
      <c r="E10" s="66">
        <f t="shared" si="4"/>
        <v>257400</v>
      </c>
      <c r="F10" s="66">
        <f t="shared" si="4"/>
        <v>257400</v>
      </c>
      <c r="G10" s="66">
        <f t="shared" si="4"/>
        <v>257400</v>
      </c>
      <c r="H10" s="66">
        <f t="shared" si="4"/>
        <v>257400</v>
      </c>
      <c r="I10" s="66">
        <f t="shared" si="4"/>
        <v>257400</v>
      </c>
      <c r="J10" s="66">
        <f t="shared" si="4"/>
        <v>257400</v>
      </c>
      <c r="K10" s="66">
        <f t="shared" si="4"/>
        <v>257400</v>
      </c>
      <c r="L10" s="66">
        <f t="shared" si="4"/>
        <v>257400</v>
      </c>
      <c r="M10" s="66">
        <f t="shared" si="4"/>
        <v>257400</v>
      </c>
      <c r="N10" s="66">
        <f>M10+L10+K10+J10+I10+H10+G10+F10+E10+D10+C10+B10</f>
        <v>2662200</v>
      </c>
      <c r="O10" s="74">
        <f>N10/N3</f>
        <v>0.25</v>
      </c>
    </row>
    <row r="11" spans="1:15" s="11" customFormat="1" hidden="1" outlineLevel="1" x14ac:dyDescent="0.2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</row>
    <row r="12" spans="1:15" s="10" customFormat="1" collapsed="1" x14ac:dyDescent="0.2">
      <c r="A12" s="79" t="s">
        <v>98</v>
      </c>
      <c r="B12" s="121">
        <v>0.25</v>
      </c>
      <c r="C12" s="121">
        <v>0.25</v>
      </c>
      <c r="D12" s="121">
        <v>0.25</v>
      </c>
      <c r="E12" s="121">
        <v>0.25</v>
      </c>
      <c r="F12" s="121">
        <v>0.25</v>
      </c>
      <c r="G12" s="121">
        <v>0.25</v>
      </c>
      <c r="H12" s="121">
        <v>0.25</v>
      </c>
      <c r="I12" s="121">
        <v>0.25</v>
      </c>
      <c r="J12" s="121">
        <v>0.25</v>
      </c>
      <c r="K12" s="121">
        <v>0.25</v>
      </c>
      <c r="L12" s="121">
        <v>0.25</v>
      </c>
      <c r="M12" s="121">
        <v>0.25</v>
      </c>
      <c r="N12" s="121">
        <f>SUM(N10:N11)/N8</f>
        <v>0.25</v>
      </c>
      <c r="O12" s="80">
        <f t="shared" ref="O12:O20" si="5">N12/N$3</f>
        <v>2.3476823679663438E-8</v>
      </c>
    </row>
    <row r="13" spans="1:15" s="2" customFormat="1" x14ac:dyDescent="0.2">
      <c r="A13" s="75" t="s">
        <v>12</v>
      </c>
      <c r="B13" s="66">
        <f t="shared" ref="B13:M13" si="6">SUM(B14:B17)</f>
        <v>13440</v>
      </c>
      <c r="C13" s="66">
        <f t="shared" si="6"/>
        <v>147840</v>
      </c>
      <c r="D13" s="66">
        <f t="shared" si="6"/>
        <v>225792</v>
      </c>
      <c r="E13" s="66">
        <f t="shared" si="6"/>
        <v>288288</v>
      </c>
      <c r="F13" s="66">
        <f t="shared" si="6"/>
        <v>288288</v>
      </c>
      <c r="G13" s="66">
        <f t="shared" si="6"/>
        <v>288288</v>
      </c>
      <c r="H13" s="66">
        <f t="shared" si="6"/>
        <v>288288</v>
      </c>
      <c r="I13" s="66">
        <f t="shared" si="6"/>
        <v>288288</v>
      </c>
      <c r="J13" s="66">
        <f t="shared" si="6"/>
        <v>288288</v>
      </c>
      <c r="K13" s="66">
        <f t="shared" si="6"/>
        <v>288288</v>
      </c>
      <c r="L13" s="66">
        <f t="shared" si="6"/>
        <v>288288</v>
      </c>
      <c r="M13" s="66">
        <f t="shared" si="6"/>
        <v>288288</v>
      </c>
      <c r="N13" s="66">
        <f>M13+L13+K13+J13+I13+H13+G13+F13+E13+D13+C13+B13</f>
        <v>2981664</v>
      </c>
      <c r="O13" s="74">
        <f t="shared" si="5"/>
        <v>0.28000000000000003</v>
      </c>
    </row>
    <row r="14" spans="1:15" outlineLevel="1" x14ac:dyDescent="0.2">
      <c r="A14" s="81" t="s">
        <v>114</v>
      </c>
      <c r="B14" s="82">
        <f t="shared" ref="B14:M14" si="7">B3*3%</f>
        <v>1440</v>
      </c>
      <c r="C14" s="82">
        <f t="shared" si="7"/>
        <v>15840</v>
      </c>
      <c r="D14" s="82">
        <f t="shared" si="7"/>
        <v>24192</v>
      </c>
      <c r="E14" s="82">
        <f t="shared" si="7"/>
        <v>30888</v>
      </c>
      <c r="F14" s="82">
        <f t="shared" si="7"/>
        <v>30888</v>
      </c>
      <c r="G14" s="82">
        <f t="shared" si="7"/>
        <v>30888</v>
      </c>
      <c r="H14" s="82">
        <f t="shared" si="7"/>
        <v>30888</v>
      </c>
      <c r="I14" s="82">
        <f t="shared" si="7"/>
        <v>30888</v>
      </c>
      <c r="J14" s="82">
        <f t="shared" si="7"/>
        <v>30888</v>
      </c>
      <c r="K14" s="82">
        <f t="shared" si="7"/>
        <v>30888</v>
      </c>
      <c r="L14" s="82">
        <f t="shared" si="7"/>
        <v>30888</v>
      </c>
      <c r="M14" s="82">
        <f t="shared" si="7"/>
        <v>30888</v>
      </c>
      <c r="N14" s="82">
        <f>M14+L14+K14+J14+I14+H14+G14+F14+E14+D14+C14+B14</f>
        <v>319464</v>
      </c>
      <c r="O14" s="83">
        <f t="shared" si="5"/>
        <v>0.03</v>
      </c>
    </row>
    <row r="15" spans="1:15" outlineLevel="1" x14ac:dyDescent="0.2">
      <c r="A15" s="81" t="s">
        <v>110</v>
      </c>
      <c r="B15" s="82">
        <f t="shared" ref="B15:M15" si="8">B4*2%</f>
        <v>960</v>
      </c>
      <c r="C15" s="82">
        <f t="shared" si="8"/>
        <v>10560</v>
      </c>
      <c r="D15" s="82">
        <f t="shared" si="8"/>
        <v>16128</v>
      </c>
      <c r="E15" s="82">
        <f t="shared" si="8"/>
        <v>20592</v>
      </c>
      <c r="F15" s="82">
        <f t="shared" si="8"/>
        <v>20592</v>
      </c>
      <c r="G15" s="82">
        <f t="shared" si="8"/>
        <v>20592</v>
      </c>
      <c r="H15" s="82">
        <f t="shared" si="8"/>
        <v>20592</v>
      </c>
      <c r="I15" s="82">
        <f t="shared" si="8"/>
        <v>20592</v>
      </c>
      <c r="J15" s="82">
        <f t="shared" si="8"/>
        <v>20592</v>
      </c>
      <c r="K15" s="82">
        <f t="shared" si="8"/>
        <v>20592</v>
      </c>
      <c r="L15" s="82">
        <f t="shared" si="8"/>
        <v>20592</v>
      </c>
      <c r="M15" s="82">
        <f t="shared" si="8"/>
        <v>20592</v>
      </c>
      <c r="N15" s="82">
        <f>M15+L15+K15+J15+I15+H15+G15+F15+E15+D15+C15+B15</f>
        <v>212976</v>
      </c>
      <c r="O15" s="83">
        <f t="shared" si="5"/>
        <v>0.02</v>
      </c>
    </row>
    <row r="16" spans="1:15" outlineLevel="1" x14ac:dyDescent="0.2">
      <c r="A16" s="81" t="s">
        <v>111</v>
      </c>
      <c r="B16" s="82">
        <f t="shared" ref="B16:M16" si="9">B4*3%</f>
        <v>1440</v>
      </c>
      <c r="C16" s="82">
        <f t="shared" si="9"/>
        <v>15840</v>
      </c>
      <c r="D16" s="82">
        <f t="shared" si="9"/>
        <v>24192</v>
      </c>
      <c r="E16" s="82">
        <f t="shared" si="9"/>
        <v>30888</v>
      </c>
      <c r="F16" s="82">
        <f t="shared" si="9"/>
        <v>30888</v>
      </c>
      <c r="G16" s="82">
        <f t="shared" si="9"/>
        <v>30888</v>
      </c>
      <c r="H16" s="82">
        <f t="shared" si="9"/>
        <v>30888</v>
      </c>
      <c r="I16" s="82">
        <f t="shared" si="9"/>
        <v>30888</v>
      </c>
      <c r="J16" s="82">
        <f t="shared" si="9"/>
        <v>30888</v>
      </c>
      <c r="K16" s="82">
        <f t="shared" si="9"/>
        <v>30888</v>
      </c>
      <c r="L16" s="82">
        <f t="shared" si="9"/>
        <v>30888</v>
      </c>
      <c r="M16" s="82">
        <f t="shared" si="9"/>
        <v>30888</v>
      </c>
      <c r="N16" s="82">
        <f>M16+L16+K16+J16+I16+H16+G16+F16+E16+D16+C16+B16</f>
        <v>319464</v>
      </c>
      <c r="O16" s="83">
        <f t="shared" si="5"/>
        <v>0.03</v>
      </c>
    </row>
    <row r="17" spans="1:15" outlineLevel="1" x14ac:dyDescent="0.2">
      <c r="A17" s="84" t="s">
        <v>112</v>
      </c>
      <c r="B17" s="82">
        <f t="shared" ref="B17:N17" si="10">B4*20%</f>
        <v>9600</v>
      </c>
      <c r="C17" s="82">
        <f t="shared" si="10"/>
        <v>105600</v>
      </c>
      <c r="D17" s="82">
        <f t="shared" si="10"/>
        <v>161280</v>
      </c>
      <c r="E17" s="82">
        <f t="shared" si="10"/>
        <v>205920</v>
      </c>
      <c r="F17" s="82">
        <f t="shared" si="10"/>
        <v>205920</v>
      </c>
      <c r="G17" s="82">
        <f t="shared" si="10"/>
        <v>205920</v>
      </c>
      <c r="H17" s="82">
        <f t="shared" si="10"/>
        <v>205920</v>
      </c>
      <c r="I17" s="82">
        <f t="shared" si="10"/>
        <v>205920</v>
      </c>
      <c r="J17" s="82">
        <f t="shared" si="10"/>
        <v>205920</v>
      </c>
      <c r="K17" s="82">
        <f t="shared" si="10"/>
        <v>205920</v>
      </c>
      <c r="L17" s="82">
        <f t="shared" si="10"/>
        <v>205920</v>
      </c>
      <c r="M17" s="82">
        <f t="shared" si="10"/>
        <v>205920</v>
      </c>
      <c r="N17" s="82">
        <f t="shared" si="10"/>
        <v>2129760</v>
      </c>
      <c r="O17" s="83">
        <f t="shared" si="5"/>
        <v>0.2</v>
      </c>
    </row>
    <row r="18" spans="1:15" s="10" customFormat="1" x14ac:dyDescent="0.2">
      <c r="A18" s="85" t="s">
        <v>99</v>
      </c>
      <c r="B18" s="121">
        <f t="shared" ref="B18:N18" si="11">B13/B8</f>
        <v>0.28000000000000003</v>
      </c>
      <c r="C18" s="121">
        <f t="shared" si="11"/>
        <v>0.28000000000000003</v>
      </c>
      <c r="D18" s="121">
        <f t="shared" si="11"/>
        <v>0.28000000000000003</v>
      </c>
      <c r="E18" s="121">
        <f t="shared" si="11"/>
        <v>0.28000000000000003</v>
      </c>
      <c r="F18" s="121">
        <f t="shared" si="11"/>
        <v>0.28000000000000003</v>
      </c>
      <c r="G18" s="121">
        <f t="shared" si="11"/>
        <v>0.28000000000000003</v>
      </c>
      <c r="H18" s="121">
        <f t="shared" si="11"/>
        <v>0.28000000000000003</v>
      </c>
      <c r="I18" s="121">
        <f t="shared" si="11"/>
        <v>0.28000000000000003</v>
      </c>
      <c r="J18" s="121">
        <f t="shared" si="11"/>
        <v>0.28000000000000003</v>
      </c>
      <c r="K18" s="121">
        <f t="shared" si="11"/>
        <v>0.28000000000000003</v>
      </c>
      <c r="L18" s="121">
        <f t="shared" si="11"/>
        <v>0.28000000000000003</v>
      </c>
      <c r="M18" s="121">
        <f t="shared" si="11"/>
        <v>0.28000000000000003</v>
      </c>
      <c r="N18" s="121">
        <f t="shared" si="11"/>
        <v>0.28000000000000003</v>
      </c>
      <c r="O18" s="80">
        <f t="shared" si="5"/>
        <v>2.6294042521223051E-8</v>
      </c>
    </row>
    <row r="19" spans="1:15" s="10" customFormat="1" x14ac:dyDescent="0.2">
      <c r="A19" s="65" t="s">
        <v>48</v>
      </c>
      <c r="B19" s="86">
        <f>B10*2.5%</f>
        <v>300</v>
      </c>
      <c r="C19" s="86">
        <f t="shared" ref="C19:M19" si="12">C10*2.5%</f>
        <v>3300</v>
      </c>
      <c r="D19" s="86">
        <f t="shared" si="12"/>
        <v>5040</v>
      </c>
      <c r="E19" s="86">
        <f t="shared" si="12"/>
        <v>6435</v>
      </c>
      <c r="F19" s="86">
        <f t="shared" si="12"/>
        <v>6435</v>
      </c>
      <c r="G19" s="86">
        <f t="shared" si="12"/>
        <v>6435</v>
      </c>
      <c r="H19" s="86">
        <f t="shared" si="12"/>
        <v>6435</v>
      </c>
      <c r="I19" s="86">
        <f t="shared" si="12"/>
        <v>6435</v>
      </c>
      <c r="J19" s="86">
        <f t="shared" si="12"/>
        <v>6435</v>
      </c>
      <c r="K19" s="86">
        <f t="shared" si="12"/>
        <v>6435</v>
      </c>
      <c r="L19" s="86">
        <f t="shared" si="12"/>
        <v>6435</v>
      </c>
      <c r="M19" s="86">
        <f t="shared" si="12"/>
        <v>6435</v>
      </c>
      <c r="N19" s="86">
        <f>N10*2.5%</f>
        <v>66555</v>
      </c>
      <c r="O19" s="80">
        <f t="shared" si="5"/>
        <v>6.2500000000000003E-3</v>
      </c>
    </row>
    <row r="20" spans="1:15" s="9" customFormat="1" ht="12" x14ac:dyDescent="0.2">
      <c r="A20" s="102" t="s">
        <v>13</v>
      </c>
      <c r="B20" s="103">
        <f t="shared" ref="B20:N20" si="13">B4-B10</f>
        <v>36000</v>
      </c>
      <c r="C20" s="103">
        <f t="shared" si="13"/>
        <v>396000</v>
      </c>
      <c r="D20" s="103">
        <f t="shared" si="13"/>
        <v>604800</v>
      </c>
      <c r="E20" s="103">
        <f t="shared" si="13"/>
        <v>772200</v>
      </c>
      <c r="F20" s="103">
        <f t="shared" si="13"/>
        <v>772200</v>
      </c>
      <c r="G20" s="103">
        <f t="shared" si="13"/>
        <v>772200</v>
      </c>
      <c r="H20" s="103">
        <f t="shared" si="13"/>
        <v>772200</v>
      </c>
      <c r="I20" s="103">
        <f t="shared" si="13"/>
        <v>772200</v>
      </c>
      <c r="J20" s="103">
        <f t="shared" si="13"/>
        <v>772200</v>
      </c>
      <c r="K20" s="103">
        <f t="shared" si="13"/>
        <v>772200</v>
      </c>
      <c r="L20" s="103">
        <f t="shared" si="13"/>
        <v>772200</v>
      </c>
      <c r="M20" s="103">
        <f t="shared" si="13"/>
        <v>772200</v>
      </c>
      <c r="N20" s="103">
        <f t="shared" si="13"/>
        <v>7986600</v>
      </c>
      <c r="O20" s="104">
        <f t="shared" si="5"/>
        <v>0.75</v>
      </c>
    </row>
    <row r="21" spans="1:15" s="14" customFormat="1" ht="10.5" x14ac:dyDescent="0.15">
      <c r="A21" s="87" t="s">
        <v>19</v>
      </c>
      <c r="B21" s="88">
        <f t="shared" ref="B21:N21" si="14">B20/B8</f>
        <v>0.75</v>
      </c>
      <c r="C21" s="88">
        <f t="shared" si="14"/>
        <v>0.75</v>
      </c>
      <c r="D21" s="88">
        <f t="shared" si="14"/>
        <v>0.75</v>
      </c>
      <c r="E21" s="88">
        <f t="shared" si="14"/>
        <v>0.75</v>
      </c>
      <c r="F21" s="88">
        <f t="shared" si="14"/>
        <v>0.75</v>
      </c>
      <c r="G21" s="88">
        <f t="shared" si="14"/>
        <v>0.75</v>
      </c>
      <c r="H21" s="88">
        <f t="shared" si="14"/>
        <v>0.75</v>
      </c>
      <c r="I21" s="88">
        <f t="shared" si="14"/>
        <v>0.75</v>
      </c>
      <c r="J21" s="88">
        <f t="shared" si="14"/>
        <v>0.75</v>
      </c>
      <c r="K21" s="88">
        <f t="shared" si="14"/>
        <v>0.75</v>
      </c>
      <c r="L21" s="88">
        <f t="shared" si="14"/>
        <v>0.75</v>
      </c>
      <c r="M21" s="88">
        <f t="shared" si="14"/>
        <v>0.75</v>
      </c>
      <c r="N21" s="88">
        <f t="shared" si="14"/>
        <v>0.75</v>
      </c>
      <c r="O21" s="89"/>
    </row>
    <row r="22" spans="1:15" s="8" customFormat="1" ht="12" collapsed="1" x14ac:dyDescent="0.2">
      <c r="A22" s="118" t="s">
        <v>115</v>
      </c>
      <c r="B22" s="117">
        <f t="shared" ref="B22:M22" si="15">SUM(B23,B30:B34)</f>
        <v>380500</v>
      </c>
      <c r="C22" s="117">
        <f t="shared" si="15"/>
        <v>169000</v>
      </c>
      <c r="D22" s="117">
        <f t="shared" si="15"/>
        <v>169000</v>
      </c>
      <c r="E22" s="117">
        <f t="shared" si="15"/>
        <v>183285.71428571429</v>
      </c>
      <c r="F22" s="117">
        <f t="shared" si="15"/>
        <v>183285.71428571429</v>
      </c>
      <c r="G22" s="117">
        <f t="shared" si="15"/>
        <v>183285.71428571429</v>
      </c>
      <c r="H22" s="117">
        <f t="shared" si="15"/>
        <v>183285.71428571429</v>
      </c>
      <c r="I22" s="117">
        <f t="shared" si="15"/>
        <v>183285.71428571429</v>
      </c>
      <c r="J22" s="117">
        <f t="shared" si="15"/>
        <v>183285.71428571429</v>
      </c>
      <c r="K22" s="117">
        <f t="shared" si="15"/>
        <v>183285.71428571429</v>
      </c>
      <c r="L22" s="117">
        <f t="shared" si="15"/>
        <v>183285.71428571429</v>
      </c>
      <c r="M22" s="117">
        <f t="shared" si="15"/>
        <v>183285.71428571429</v>
      </c>
      <c r="N22" s="117">
        <f>M22+L22+K22+J22+I22+H22+G22+F22+E22+D22+C22+B22</f>
        <v>2368071.4285714286</v>
      </c>
      <c r="O22" s="102">
        <f t="shared" ref="O22:O31" si="16">N22/N$3</f>
        <v>0.22237918155768055</v>
      </c>
    </row>
    <row r="23" spans="1:15" s="2" customFormat="1" outlineLevel="1" x14ac:dyDescent="0.2">
      <c r="A23" s="75" t="s">
        <v>15</v>
      </c>
      <c r="B23" s="13">
        <f t="shared" ref="B23:M23" si="17">B24+B29</f>
        <v>40500</v>
      </c>
      <c r="C23" s="13">
        <f t="shared" si="17"/>
        <v>54000</v>
      </c>
      <c r="D23" s="13">
        <f t="shared" si="17"/>
        <v>54000</v>
      </c>
      <c r="E23" s="13">
        <f t="shared" si="17"/>
        <v>54000</v>
      </c>
      <c r="F23" s="13">
        <f t="shared" si="17"/>
        <v>54000</v>
      </c>
      <c r="G23" s="13">
        <f t="shared" si="17"/>
        <v>54000</v>
      </c>
      <c r="H23" s="13">
        <f t="shared" si="17"/>
        <v>54000</v>
      </c>
      <c r="I23" s="13">
        <f t="shared" si="17"/>
        <v>54000</v>
      </c>
      <c r="J23" s="13">
        <f t="shared" si="17"/>
        <v>54000</v>
      </c>
      <c r="K23" s="13">
        <f t="shared" si="17"/>
        <v>54000</v>
      </c>
      <c r="L23" s="13">
        <f t="shared" si="17"/>
        <v>54000</v>
      </c>
      <c r="M23" s="13">
        <f t="shared" si="17"/>
        <v>54000</v>
      </c>
      <c r="N23" s="13">
        <f>SUM(B23:M23)</f>
        <v>634500</v>
      </c>
      <c r="O23" s="91">
        <f t="shared" si="16"/>
        <v>5.9584178498985799E-2</v>
      </c>
    </row>
    <row r="24" spans="1:15" s="2" customFormat="1" outlineLevel="2" x14ac:dyDescent="0.2">
      <c r="A24" s="123" t="s">
        <v>14</v>
      </c>
      <c r="B24" s="13">
        <f t="shared" ref="B24:M24" si="18">SUM(B25:B28)</f>
        <v>30000</v>
      </c>
      <c r="C24" s="13">
        <f t="shared" si="18"/>
        <v>40000</v>
      </c>
      <c r="D24" s="13">
        <f t="shared" si="18"/>
        <v>40000</v>
      </c>
      <c r="E24" s="13">
        <f t="shared" si="18"/>
        <v>40000</v>
      </c>
      <c r="F24" s="13">
        <f t="shared" si="18"/>
        <v>40000</v>
      </c>
      <c r="G24" s="13">
        <f t="shared" si="18"/>
        <v>40000</v>
      </c>
      <c r="H24" s="13">
        <f t="shared" si="18"/>
        <v>40000</v>
      </c>
      <c r="I24" s="13">
        <f t="shared" si="18"/>
        <v>40000</v>
      </c>
      <c r="J24" s="13">
        <f t="shared" si="18"/>
        <v>40000</v>
      </c>
      <c r="K24" s="13">
        <f t="shared" si="18"/>
        <v>40000</v>
      </c>
      <c r="L24" s="13">
        <f t="shared" si="18"/>
        <v>40000</v>
      </c>
      <c r="M24" s="13">
        <f t="shared" si="18"/>
        <v>40000</v>
      </c>
      <c r="N24" s="13">
        <f t="shared" ref="N24:N34" si="19">SUM(B24:M24)</f>
        <v>470000</v>
      </c>
      <c r="O24" s="23">
        <f t="shared" si="16"/>
        <v>4.4136428517767258E-2</v>
      </c>
    </row>
    <row r="25" spans="1:15" outlineLevel="3" x14ac:dyDescent="0.2">
      <c r="A25" s="81" t="s">
        <v>113</v>
      </c>
      <c r="B25" s="92">
        <v>20000</v>
      </c>
      <c r="C25" s="92">
        <v>20000</v>
      </c>
      <c r="D25" s="92">
        <v>20000</v>
      </c>
      <c r="E25" s="92">
        <v>20000</v>
      </c>
      <c r="F25" s="92">
        <v>20000</v>
      </c>
      <c r="G25" s="92">
        <v>20000</v>
      </c>
      <c r="H25" s="92">
        <v>20000</v>
      </c>
      <c r="I25" s="92">
        <v>20000</v>
      </c>
      <c r="J25" s="92">
        <v>20000</v>
      </c>
      <c r="K25" s="92">
        <v>20000</v>
      </c>
      <c r="L25" s="92">
        <v>20000</v>
      </c>
      <c r="M25" s="92">
        <v>20000</v>
      </c>
      <c r="N25" s="13">
        <f t="shared" si="19"/>
        <v>240000</v>
      </c>
      <c r="O25" s="93">
        <f t="shared" si="16"/>
        <v>2.2537750732476897E-2</v>
      </c>
    </row>
    <row r="26" spans="1:15" outlineLevel="3" x14ac:dyDescent="0.2">
      <c r="A26" s="81" t="s">
        <v>116</v>
      </c>
      <c r="B26" s="92">
        <v>10000</v>
      </c>
      <c r="C26" s="92">
        <v>10000</v>
      </c>
      <c r="D26" s="92">
        <v>10000</v>
      </c>
      <c r="E26" s="92">
        <v>10000</v>
      </c>
      <c r="F26" s="92">
        <v>10000</v>
      </c>
      <c r="G26" s="92">
        <v>10000</v>
      </c>
      <c r="H26" s="92">
        <v>10000</v>
      </c>
      <c r="I26" s="92">
        <v>10000</v>
      </c>
      <c r="J26" s="92">
        <v>10000</v>
      </c>
      <c r="K26" s="92">
        <v>10000</v>
      </c>
      <c r="L26" s="92">
        <v>10000</v>
      </c>
      <c r="M26" s="92">
        <v>10000</v>
      </c>
      <c r="N26" s="13">
        <f t="shared" si="19"/>
        <v>120000</v>
      </c>
      <c r="O26" s="93">
        <f t="shared" si="16"/>
        <v>1.1268875366238449E-2</v>
      </c>
    </row>
    <row r="27" spans="1:15" outlineLevel="3" x14ac:dyDescent="0.2">
      <c r="A27" s="81" t="s">
        <v>117</v>
      </c>
      <c r="B27" s="92">
        <v>0</v>
      </c>
      <c r="C27" s="92">
        <v>10000</v>
      </c>
      <c r="D27" s="92">
        <v>10000</v>
      </c>
      <c r="E27" s="92">
        <v>10000</v>
      </c>
      <c r="F27" s="92">
        <v>10000</v>
      </c>
      <c r="G27" s="92">
        <v>10000</v>
      </c>
      <c r="H27" s="92">
        <v>10000</v>
      </c>
      <c r="I27" s="92">
        <v>10000</v>
      </c>
      <c r="J27" s="92">
        <v>10000</v>
      </c>
      <c r="K27" s="92">
        <v>10000</v>
      </c>
      <c r="L27" s="92">
        <v>10000</v>
      </c>
      <c r="M27" s="92">
        <v>10000</v>
      </c>
      <c r="N27" s="13">
        <f t="shared" si="19"/>
        <v>110000</v>
      </c>
      <c r="O27" s="93">
        <f t="shared" si="16"/>
        <v>1.0329802419051912E-2</v>
      </c>
    </row>
    <row r="28" spans="1:15" outlineLevel="3" x14ac:dyDescent="0.2">
      <c r="A28" s="122" t="s">
        <v>8</v>
      </c>
      <c r="B28" s="92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13">
        <f t="shared" si="19"/>
        <v>0</v>
      </c>
      <c r="O28" s="93">
        <f t="shared" si="16"/>
        <v>0</v>
      </c>
    </row>
    <row r="29" spans="1:15" s="2" customFormat="1" outlineLevel="2" x14ac:dyDescent="0.2">
      <c r="A29" s="123" t="s">
        <v>118</v>
      </c>
      <c r="B29" s="13">
        <f t="shared" ref="B29:M29" si="20">B24*35%</f>
        <v>10500</v>
      </c>
      <c r="C29" s="13">
        <f t="shared" si="20"/>
        <v>14000</v>
      </c>
      <c r="D29" s="13">
        <f t="shared" si="20"/>
        <v>14000</v>
      </c>
      <c r="E29" s="13">
        <f t="shared" si="20"/>
        <v>14000</v>
      </c>
      <c r="F29" s="13">
        <f t="shared" si="20"/>
        <v>14000</v>
      </c>
      <c r="G29" s="13">
        <f t="shared" si="20"/>
        <v>14000</v>
      </c>
      <c r="H29" s="13">
        <f t="shared" si="20"/>
        <v>14000</v>
      </c>
      <c r="I29" s="13">
        <f t="shared" si="20"/>
        <v>14000</v>
      </c>
      <c r="J29" s="13">
        <f t="shared" si="20"/>
        <v>14000</v>
      </c>
      <c r="K29" s="13">
        <f t="shared" si="20"/>
        <v>14000</v>
      </c>
      <c r="L29" s="13">
        <f t="shared" si="20"/>
        <v>14000</v>
      </c>
      <c r="M29" s="13">
        <f t="shared" si="20"/>
        <v>14000</v>
      </c>
      <c r="N29" s="13">
        <f t="shared" si="19"/>
        <v>164500</v>
      </c>
      <c r="O29" s="23">
        <f t="shared" si="16"/>
        <v>1.5447749981218541E-2</v>
      </c>
    </row>
    <row r="30" spans="1:15" s="2" customFormat="1" outlineLevel="1" x14ac:dyDescent="0.2">
      <c r="A30" s="16" t="s">
        <v>22</v>
      </c>
      <c r="B30" s="13">
        <v>25000</v>
      </c>
      <c r="C30" s="13">
        <v>25000</v>
      </c>
      <c r="D30" s="13">
        <v>25000</v>
      </c>
      <c r="E30" s="13">
        <v>25000</v>
      </c>
      <c r="F30" s="13">
        <v>25000</v>
      </c>
      <c r="G30" s="13">
        <v>25000</v>
      </c>
      <c r="H30" s="13">
        <v>25000</v>
      </c>
      <c r="I30" s="13">
        <v>25000</v>
      </c>
      <c r="J30" s="13">
        <v>25000</v>
      </c>
      <c r="K30" s="13">
        <v>25000</v>
      </c>
      <c r="L30" s="13">
        <v>25000</v>
      </c>
      <c r="M30" s="13">
        <v>25000</v>
      </c>
      <c r="N30" s="13">
        <f t="shared" si="19"/>
        <v>300000</v>
      </c>
      <c r="O30" s="23">
        <f t="shared" si="16"/>
        <v>2.8172188415596124E-2</v>
      </c>
    </row>
    <row r="31" spans="1:15" s="2" customFormat="1" outlineLevel="1" x14ac:dyDescent="0.2">
      <c r="A31" s="16" t="s">
        <v>49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f t="shared" si="19"/>
        <v>0</v>
      </c>
      <c r="O31" s="23">
        <f t="shared" si="16"/>
        <v>0</v>
      </c>
    </row>
    <row r="32" spans="1:15" s="2" customFormat="1" outlineLevel="1" x14ac:dyDescent="0.2">
      <c r="A32" s="16" t="s">
        <v>50</v>
      </c>
      <c r="B32" s="13">
        <v>100000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f t="shared" si="19"/>
        <v>100000</v>
      </c>
      <c r="O32" s="23">
        <f>N32/N3</f>
        <v>9.3907294718653753E-3</v>
      </c>
    </row>
    <row r="33" spans="1:15" s="2" customFormat="1" outlineLevel="1" x14ac:dyDescent="0.2">
      <c r="A33" s="16" t="s">
        <v>25</v>
      </c>
      <c r="B33" s="13">
        <v>205000</v>
      </c>
      <c r="C33" s="13">
        <v>10000</v>
      </c>
      <c r="D33" s="13">
        <v>10000</v>
      </c>
      <c r="E33" s="13">
        <v>10000</v>
      </c>
      <c r="F33" s="13">
        <v>10000</v>
      </c>
      <c r="G33" s="13">
        <v>10000</v>
      </c>
      <c r="H33" s="13">
        <v>10000</v>
      </c>
      <c r="I33" s="13">
        <v>10000</v>
      </c>
      <c r="J33" s="13">
        <v>10000</v>
      </c>
      <c r="K33" s="13">
        <v>10000</v>
      </c>
      <c r="L33" s="13">
        <v>10000</v>
      </c>
      <c r="M33" s="13">
        <v>10000</v>
      </c>
      <c r="N33" s="13">
        <f t="shared" si="19"/>
        <v>315000</v>
      </c>
      <c r="O33" s="23">
        <f t="shared" ref="O33:O39" si="21">N33/N$3</f>
        <v>2.9580797836375929E-2</v>
      </c>
    </row>
    <row r="34" spans="1:15" s="2" customFormat="1" outlineLevel="1" x14ac:dyDescent="0.2">
      <c r="A34" s="17" t="s">
        <v>23</v>
      </c>
      <c r="B34" s="15">
        <v>10000</v>
      </c>
      <c r="C34" s="15">
        <f>C6*4*1000</f>
        <v>80000</v>
      </c>
      <c r="D34" s="15">
        <f>D6*100/35*1000</f>
        <v>80000</v>
      </c>
      <c r="E34" s="15">
        <f t="shared" ref="E34:M34" si="22">E6*100/35*1000</f>
        <v>94285.71428571429</v>
      </c>
      <c r="F34" s="15">
        <f t="shared" si="22"/>
        <v>94285.71428571429</v>
      </c>
      <c r="G34" s="15">
        <f t="shared" si="22"/>
        <v>94285.71428571429</v>
      </c>
      <c r="H34" s="15">
        <f t="shared" si="22"/>
        <v>94285.71428571429</v>
      </c>
      <c r="I34" s="15">
        <f t="shared" si="22"/>
        <v>94285.71428571429</v>
      </c>
      <c r="J34" s="15">
        <f t="shared" si="22"/>
        <v>94285.71428571429</v>
      </c>
      <c r="K34" s="15">
        <f t="shared" si="22"/>
        <v>94285.71428571429</v>
      </c>
      <c r="L34" s="15">
        <f t="shared" si="22"/>
        <v>94285.71428571429</v>
      </c>
      <c r="M34" s="15">
        <f t="shared" si="22"/>
        <v>94285.71428571429</v>
      </c>
      <c r="N34" s="13">
        <f t="shared" si="19"/>
        <v>1018571.4285714289</v>
      </c>
      <c r="O34" s="24">
        <f t="shared" si="21"/>
        <v>9.5651287334857338E-2</v>
      </c>
    </row>
    <row r="35" spans="1:15" s="6" customFormat="1" ht="12" x14ac:dyDescent="0.2">
      <c r="A35" s="124" t="s">
        <v>18</v>
      </c>
      <c r="B35" s="125">
        <f t="shared" ref="B35:M35" si="23">B9+B22</f>
        <v>406240</v>
      </c>
      <c r="C35" s="125">
        <f t="shared" si="23"/>
        <v>452140</v>
      </c>
      <c r="D35" s="125">
        <f t="shared" si="23"/>
        <v>601432</v>
      </c>
      <c r="E35" s="125">
        <f t="shared" si="23"/>
        <v>735408.71428571432</v>
      </c>
      <c r="F35" s="125">
        <f t="shared" si="23"/>
        <v>735408.71428571432</v>
      </c>
      <c r="G35" s="125">
        <f t="shared" si="23"/>
        <v>735408.71428571432</v>
      </c>
      <c r="H35" s="125">
        <f t="shared" si="23"/>
        <v>735408.71428571432</v>
      </c>
      <c r="I35" s="125">
        <f t="shared" si="23"/>
        <v>735408.71428571432</v>
      </c>
      <c r="J35" s="125">
        <f t="shared" si="23"/>
        <v>735408.71428571432</v>
      </c>
      <c r="K35" s="125">
        <f t="shared" si="23"/>
        <v>735408.71428571432</v>
      </c>
      <c r="L35" s="125">
        <f t="shared" si="23"/>
        <v>735408.71428571432</v>
      </c>
      <c r="M35" s="125">
        <f t="shared" si="23"/>
        <v>735408.71428571432</v>
      </c>
      <c r="N35" s="125">
        <f>SUM(B35:M35)</f>
        <v>8078490.428571431</v>
      </c>
      <c r="O35" s="126">
        <f t="shared" si="21"/>
        <v>0.75862918155768078</v>
      </c>
    </row>
    <row r="36" spans="1:15" s="18" customFormat="1" ht="12" x14ac:dyDescent="0.2">
      <c r="A36" s="73" t="s">
        <v>101</v>
      </c>
      <c r="B36" s="94">
        <f t="shared" ref="B36:N36" si="24">B8-B35</f>
        <v>-358240</v>
      </c>
      <c r="C36" s="94">
        <f t="shared" si="24"/>
        <v>75860</v>
      </c>
      <c r="D36" s="94">
        <f t="shared" si="24"/>
        <v>204968</v>
      </c>
      <c r="E36" s="94">
        <f t="shared" si="24"/>
        <v>294191.28571428568</v>
      </c>
      <c r="F36" s="94">
        <f t="shared" si="24"/>
        <v>294191.28571428568</v>
      </c>
      <c r="G36" s="94">
        <f t="shared" si="24"/>
        <v>294191.28571428568</v>
      </c>
      <c r="H36" s="94">
        <f t="shared" si="24"/>
        <v>294191.28571428568</v>
      </c>
      <c r="I36" s="94">
        <f t="shared" si="24"/>
        <v>294191.28571428568</v>
      </c>
      <c r="J36" s="94">
        <f t="shared" si="24"/>
        <v>294191.28571428568</v>
      </c>
      <c r="K36" s="94">
        <f t="shared" si="24"/>
        <v>294191.28571428568</v>
      </c>
      <c r="L36" s="94">
        <f t="shared" si="24"/>
        <v>294191.28571428568</v>
      </c>
      <c r="M36" s="94">
        <f t="shared" si="24"/>
        <v>294191.28571428568</v>
      </c>
      <c r="N36" s="94">
        <f t="shared" si="24"/>
        <v>2570309.571428569</v>
      </c>
      <c r="O36" s="90">
        <f t="shared" si="21"/>
        <v>0.24137081844231922</v>
      </c>
    </row>
    <row r="37" spans="1:15" s="2" customFormat="1" ht="24" hidden="1" x14ac:dyDescent="0.2">
      <c r="A37" s="95" t="s">
        <v>10</v>
      </c>
      <c r="B37" s="96">
        <f t="shared" ref="B37:N37" si="25">B36/B8</f>
        <v>-7.4633333333333329</v>
      </c>
      <c r="C37" s="96">
        <f t="shared" si="25"/>
        <v>0.14367424242424243</v>
      </c>
      <c r="D37" s="96">
        <f t="shared" si="25"/>
        <v>0.25417658730158732</v>
      </c>
      <c r="E37" s="96">
        <f t="shared" si="25"/>
        <v>0.28573357198357197</v>
      </c>
      <c r="F37" s="96">
        <f t="shared" si="25"/>
        <v>0.28573357198357197</v>
      </c>
      <c r="G37" s="96">
        <f t="shared" si="25"/>
        <v>0.28573357198357197</v>
      </c>
      <c r="H37" s="96">
        <f t="shared" si="25"/>
        <v>0.28573357198357197</v>
      </c>
      <c r="I37" s="96">
        <f t="shared" si="25"/>
        <v>0.28573357198357197</v>
      </c>
      <c r="J37" s="96">
        <f t="shared" si="25"/>
        <v>0.28573357198357197</v>
      </c>
      <c r="K37" s="96">
        <f t="shared" si="25"/>
        <v>0.28573357198357197</v>
      </c>
      <c r="L37" s="96">
        <f t="shared" si="25"/>
        <v>0.28573357198357197</v>
      </c>
      <c r="M37" s="96">
        <f t="shared" si="25"/>
        <v>0.28573357198357197</v>
      </c>
      <c r="N37" s="98">
        <f t="shared" si="25"/>
        <v>0.24137081844231922</v>
      </c>
      <c r="O37" s="97">
        <f t="shared" si="21"/>
        <v>2.2666480583945536E-8</v>
      </c>
    </row>
    <row r="38" spans="1:15" ht="12" thickBot="1" x14ac:dyDescent="0.25">
      <c r="A38" s="99" t="s">
        <v>119</v>
      </c>
      <c r="B38" s="100">
        <v>0</v>
      </c>
      <c r="C38" s="100">
        <f t="shared" ref="C38:N38" si="26">C36*15%</f>
        <v>11379</v>
      </c>
      <c r="D38" s="100">
        <f t="shared" si="26"/>
        <v>30745.199999999997</v>
      </c>
      <c r="E38" s="100">
        <f t="shared" si="26"/>
        <v>44128.692857142851</v>
      </c>
      <c r="F38" s="100">
        <f t="shared" si="26"/>
        <v>44128.692857142851</v>
      </c>
      <c r="G38" s="100">
        <f t="shared" si="26"/>
        <v>44128.692857142851</v>
      </c>
      <c r="H38" s="100">
        <f t="shared" si="26"/>
        <v>44128.692857142851</v>
      </c>
      <c r="I38" s="100">
        <f t="shared" si="26"/>
        <v>44128.692857142851</v>
      </c>
      <c r="J38" s="100">
        <f t="shared" si="26"/>
        <v>44128.692857142851</v>
      </c>
      <c r="K38" s="100">
        <f t="shared" si="26"/>
        <v>44128.692857142851</v>
      </c>
      <c r="L38" s="100">
        <f t="shared" si="26"/>
        <v>44128.692857142851</v>
      </c>
      <c r="M38" s="100">
        <f t="shared" si="26"/>
        <v>44128.692857142851</v>
      </c>
      <c r="N38" s="100">
        <f t="shared" si="26"/>
        <v>385546.43571428536</v>
      </c>
      <c r="O38" s="101">
        <f t="shared" si="21"/>
        <v>3.6205622766347888E-2</v>
      </c>
    </row>
    <row r="39" spans="1:15" s="22" customFormat="1" ht="13.5" thickBot="1" x14ac:dyDescent="0.25">
      <c r="A39" s="105" t="s">
        <v>20</v>
      </c>
      <c r="B39" s="108">
        <f>(B36)-(B38)</f>
        <v>-358240</v>
      </c>
      <c r="C39" s="108">
        <f t="shared" ref="C39:M39" si="27">C36-C38</f>
        <v>64481</v>
      </c>
      <c r="D39" s="108">
        <f t="shared" si="27"/>
        <v>174222.8</v>
      </c>
      <c r="E39" s="108">
        <f t="shared" si="27"/>
        <v>250062.59285714282</v>
      </c>
      <c r="F39" s="108">
        <f t="shared" si="27"/>
        <v>250062.59285714282</v>
      </c>
      <c r="G39" s="108">
        <f t="shared" si="27"/>
        <v>250062.59285714282</v>
      </c>
      <c r="H39" s="108">
        <f t="shared" si="27"/>
        <v>250062.59285714282</v>
      </c>
      <c r="I39" s="108">
        <f t="shared" si="27"/>
        <v>250062.59285714282</v>
      </c>
      <c r="J39" s="108">
        <f t="shared" si="27"/>
        <v>250062.59285714282</v>
      </c>
      <c r="K39" s="108">
        <f t="shared" si="27"/>
        <v>250062.59285714282</v>
      </c>
      <c r="L39" s="108">
        <f t="shared" si="27"/>
        <v>250062.59285714282</v>
      </c>
      <c r="M39" s="108">
        <f t="shared" si="27"/>
        <v>250062.59285714282</v>
      </c>
      <c r="N39" s="108">
        <f>B39+C39+D39+E39+F39+G39+H39+I39+J39+K39+L39+M39</f>
        <v>2131027.1357142855</v>
      </c>
      <c r="O39" s="109">
        <f t="shared" si="21"/>
        <v>0.20011899328696994</v>
      </c>
    </row>
    <row r="40" spans="1:15" s="12" customFormat="1" ht="12" thickBot="1" x14ac:dyDescent="0.25">
      <c r="A40" s="105" t="s">
        <v>102</v>
      </c>
      <c r="B40" s="106">
        <f>B39</f>
        <v>-358240</v>
      </c>
      <c r="C40" s="106">
        <f t="shared" ref="C40:M40" si="28">B40+C39</f>
        <v>-293759</v>
      </c>
      <c r="D40" s="106">
        <f t="shared" si="28"/>
        <v>-119536.20000000001</v>
      </c>
      <c r="E40" s="106">
        <f t="shared" si="28"/>
        <v>130526.39285714281</v>
      </c>
      <c r="F40" s="106">
        <f t="shared" si="28"/>
        <v>380588.98571428563</v>
      </c>
      <c r="G40" s="106">
        <f t="shared" si="28"/>
        <v>630651.57857142843</v>
      </c>
      <c r="H40" s="106">
        <f t="shared" si="28"/>
        <v>880714.17142857122</v>
      </c>
      <c r="I40" s="106">
        <f t="shared" si="28"/>
        <v>1130776.7642857141</v>
      </c>
      <c r="J40" s="106">
        <f t="shared" si="28"/>
        <v>1380839.357142857</v>
      </c>
      <c r="K40" s="106">
        <f t="shared" si="28"/>
        <v>1630901.95</v>
      </c>
      <c r="L40" s="106">
        <f t="shared" si="28"/>
        <v>1880964.5428571429</v>
      </c>
      <c r="M40" s="107">
        <f t="shared" si="28"/>
        <v>2131027.1357142855</v>
      </c>
      <c r="N40" s="21"/>
      <c r="O40" s="21"/>
    </row>
    <row r="41" spans="1:15" s="12" customFormat="1" ht="12" x14ac:dyDescent="0.2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</row>
    <row r="42" spans="1:15" s="12" customFormat="1" ht="12" customHeight="1" x14ac:dyDescent="0.2">
      <c r="A42" s="163" t="s">
        <v>121</v>
      </c>
      <c r="B42" s="163"/>
      <c r="C42" s="163"/>
      <c r="D42" s="163"/>
      <c r="E42" s="163"/>
      <c r="F42" s="163"/>
      <c r="G42" s="20"/>
      <c r="H42" s="20"/>
      <c r="I42" s="20"/>
      <c r="J42" s="20"/>
      <c r="K42" s="20"/>
      <c r="L42" s="20"/>
      <c r="M42" s="20"/>
      <c r="N42" s="20"/>
      <c r="O42" s="21"/>
    </row>
  </sheetData>
  <mergeCells count="3">
    <mergeCell ref="A42:F42"/>
    <mergeCell ref="A1:O1"/>
    <mergeCell ref="N2:O2"/>
  </mergeCells>
  <phoneticPr fontId="2" type="noConversion"/>
  <pageMargins left="0.25" right="0.25" top="0.75" bottom="0.75" header="0.3" footer="0.3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3" workbookViewId="0">
      <selection activeCell="B27" sqref="B27"/>
    </sheetView>
  </sheetViews>
  <sheetFormatPr defaultRowHeight="12.75" x14ac:dyDescent="0.2"/>
  <cols>
    <col min="1" max="1" width="28.28515625" style="155" customWidth="1"/>
    <col min="2" max="2" width="54.5703125" style="153" customWidth="1"/>
    <col min="3" max="16384" width="9.140625" style="152"/>
  </cols>
  <sheetData>
    <row r="1" spans="1:2" x14ac:dyDescent="0.2">
      <c r="A1" s="167" t="s">
        <v>122</v>
      </c>
      <c r="B1" s="167"/>
    </row>
    <row r="2" spans="1:2" x14ac:dyDescent="0.2">
      <c r="A2" s="156" t="s">
        <v>0</v>
      </c>
      <c r="B2" s="111" t="s">
        <v>29</v>
      </c>
    </row>
    <row r="3" spans="1:2" x14ac:dyDescent="0.2">
      <c r="A3" s="157" t="s">
        <v>3</v>
      </c>
      <c r="B3" s="111" t="s">
        <v>107</v>
      </c>
    </row>
    <row r="4" spans="1:2" ht="22.5" x14ac:dyDescent="0.2">
      <c r="A4" s="157" t="s">
        <v>4</v>
      </c>
      <c r="B4" s="111" t="s">
        <v>30</v>
      </c>
    </row>
    <row r="5" spans="1:2" x14ac:dyDescent="0.2">
      <c r="A5" s="158" t="s">
        <v>21</v>
      </c>
      <c r="B5" s="111" t="s">
        <v>106</v>
      </c>
    </row>
    <row r="6" spans="1:2" ht="22.5" x14ac:dyDescent="0.2">
      <c r="A6" s="112" t="s">
        <v>100</v>
      </c>
      <c r="B6" s="111" t="s">
        <v>31</v>
      </c>
    </row>
    <row r="7" spans="1:2" x14ac:dyDescent="0.2">
      <c r="A7" s="159" t="s">
        <v>98</v>
      </c>
      <c r="B7" s="111" t="s">
        <v>32</v>
      </c>
    </row>
    <row r="8" spans="1:2" x14ac:dyDescent="0.2">
      <c r="A8" s="112" t="s">
        <v>12</v>
      </c>
      <c r="B8" s="111" t="s">
        <v>33</v>
      </c>
    </row>
    <row r="9" spans="1:2" x14ac:dyDescent="0.2">
      <c r="A9" s="116" t="s">
        <v>26</v>
      </c>
      <c r="B9" s="111" t="s">
        <v>34</v>
      </c>
    </row>
    <row r="10" spans="1:2" x14ac:dyDescent="0.2">
      <c r="A10" s="116" t="s">
        <v>6</v>
      </c>
      <c r="B10" s="111" t="s">
        <v>35</v>
      </c>
    </row>
    <row r="11" spans="1:2" x14ac:dyDescent="0.2">
      <c r="A11" s="116" t="s">
        <v>27</v>
      </c>
      <c r="B11" s="111" t="s">
        <v>34</v>
      </c>
    </row>
    <row r="12" spans="1:2" x14ac:dyDescent="0.2">
      <c r="A12" s="116" t="s">
        <v>7</v>
      </c>
      <c r="B12" s="111" t="s">
        <v>104</v>
      </c>
    </row>
    <row r="13" spans="1:2" ht="22.5" x14ac:dyDescent="0.2">
      <c r="A13" s="160" t="s">
        <v>16</v>
      </c>
      <c r="B13" s="111" t="s">
        <v>36</v>
      </c>
    </row>
    <row r="14" spans="1:2" x14ac:dyDescent="0.2">
      <c r="A14" s="156" t="s">
        <v>17</v>
      </c>
      <c r="B14" s="111" t="s">
        <v>37</v>
      </c>
    </row>
    <row r="15" spans="1:2" x14ac:dyDescent="0.2">
      <c r="A15" s="158" t="s">
        <v>13</v>
      </c>
      <c r="B15" s="111" t="s">
        <v>38</v>
      </c>
    </row>
    <row r="16" spans="1:2" x14ac:dyDescent="0.2">
      <c r="A16" s="161" t="s">
        <v>19</v>
      </c>
      <c r="B16" s="111" t="s">
        <v>39</v>
      </c>
    </row>
    <row r="17" spans="1:2" x14ac:dyDescent="0.2">
      <c r="A17" s="158" t="s">
        <v>5</v>
      </c>
      <c r="B17" s="111" t="s">
        <v>40</v>
      </c>
    </row>
    <row r="18" spans="1:2" x14ac:dyDescent="0.2">
      <c r="A18" s="112" t="s">
        <v>15</v>
      </c>
      <c r="B18" s="111" t="s">
        <v>52</v>
      </c>
    </row>
    <row r="19" spans="1:2" x14ac:dyDescent="0.2">
      <c r="A19" s="114" t="s">
        <v>14</v>
      </c>
      <c r="B19" s="111" t="s">
        <v>41</v>
      </c>
    </row>
    <row r="20" spans="1:2" ht="33.75" x14ac:dyDescent="0.2">
      <c r="A20" s="115" t="s">
        <v>26</v>
      </c>
      <c r="B20" s="111" t="s">
        <v>54</v>
      </c>
    </row>
    <row r="21" spans="1:2" ht="22.5" x14ac:dyDescent="0.2">
      <c r="A21" s="115" t="s">
        <v>27</v>
      </c>
      <c r="B21" s="111" t="s">
        <v>51</v>
      </c>
    </row>
    <row r="22" spans="1:2" ht="33.75" x14ac:dyDescent="0.2">
      <c r="A22" s="115" t="s">
        <v>24</v>
      </c>
      <c r="B22" s="111" t="s">
        <v>55</v>
      </c>
    </row>
    <row r="23" spans="1:2" x14ac:dyDescent="0.2">
      <c r="A23" s="115" t="s">
        <v>8</v>
      </c>
      <c r="B23" s="111" t="s">
        <v>42</v>
      </c>
    </row>
    <row r="24" spans="1:2" x14ac:dyDescent="0.2">
      <c r="A24" s="114" t="s">
        <v>28</v>
      </c>
      <c r="B24" s="111" t="s">
        <v>53</v>
      </c>
    </row>
    <row r="25" spans="1:2" ht="22.5" x14ac:dyDescent="0.2">
      <c r="A25" s="112" t="s">
        <v>22</v>
      </c>
      <c r="B25" s="111" t="s">
        <v>56</v>
      </c>
    </row>
    <row r="26" spans="1:2" x14ac:dyDescent="0.2">
      <c r="A26" s="112" t="s">
        <v>25</v>
      </c>
      <c r="B26" s="111" t="s">
        <v>123</v>
      </c>
    </row>
    <row r="27" spans="1:2" ht="90" x14ac:dyDescent="0.2">
      <c r="A27" s="112" t="s">
        <v>23</v>
      </c>
      <c r="B27" s="111" t="s">
        <v>57</v>
      </c>
    </row>
    <row r="28" spans="1:2" x14ac:dyDescent="0.2">
      <c r="A28" s="162" t="s">
        <v>18</v>
      </c>
      <c r="B28" s="111" t="s">
        <v>43</v>
      </c>
    </row>
    <row r="29" spans="1:2" x14ac:dyDescent="0.2">
      <c r="A29" s="158" t="s">
        <v>101</v>
      </c>
      <c r="B29" s="111" t="s">
        <v>44</v>
      </c>
    </row>
    <row r="30" spans="1:2" x14ac:dyDescent="0.2">
      <c r="A30" s="113" t="s">
        <v>105</v>
      </c>
      <c r="B30" s="111" t="s">
        <v>45</v>
      </c>
    </row>
    <row r="31" spans="1:2" x14ac:dyDescent="0.2">
      <c r="A31" s="112" t="s">
        <v>9</v>
      </c>
      <c r="B31" s="111" t="s">
        <v>46</v>
      </c>
    </row>
    <row r="32" spans="1:2" x14ac:dyDescent="0.2">
      <c r="A32" s="113" t="s">
        <v>20</v>
      </c>
      <c r="B32" s="111" t="s">
        <v>47</v>
      </c>
    </row>
    <row r="33" spans="1:2" x14ac:dyDescent="0.2">
      <c r="A33" s="113" t="s">
        <v>102</v>
      </c>
      <c r="B33" s="111" t="s">
        <v>103</v>
      </c>
    </row>
    <row r="34" spans="1:2" x14ac:dyDescent="0.2">
      <c r="A34" s="154"/>
    </row>
    <row r="35" spans="1:2" x14ac:dyDescent="0.2">
      <c r="A35" s="154"/>
    </row>
    <row r="36" spans="1:2" x14ac:dyDescent="0.2">
      <c r="A36" s="15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F35"/>
  <sheetViews>
    <sheetView workbookViewId="0">
      <selection activeCell="H37" sqref="A1:H37"/>
    </sheetView>
  </sheetViews>
  <sheetFormatPr defaultRowHeight="12.75" x14ac:dyDescent="0.2"/>
  <cols>
    <col min="2" max="2" width="9.140625" style="26"/>
    <col min="5" max="5" width="11.140625" bestFit="1" customWidth="1"/>
    <col min="6" max="6" width="12.42578125" bestFit="1" customWidth="1"/>
  </cols>
  <sheetData>
    <row r="16" spans="2:2" x14ac:dyDescent="0.2">
      <c r="B16" s="27"/>
    </row>
    <row r="17" spans="2:6" x14ac:dyDescent="0.2">
      <c r="B17" s="27"/>
    </row>
    <row r="18" spans="2:6" x14ac:dyDescent="0.2">
      <c r="B18" s="27"/>
    </row>
    <row r="19" spans="2:6" x14ac:dyDescent="0.2">
      <c r="B19" s="27"/>
    </row>
    <row r="20" spans="2:6" x14ac:dyDescent="0.2">
      <c r="B20" s="27"/>
    </row>
    <row r="21" spans="2:6" x14ac:dyDescent="0.2">
      <c r="B21" s="27"/>
    </row>
    <row r="22" spans="2:6" x14ac:dyDescent="0.2">
      <c r="B22" s="27"/>
    </row>
    <row r="23" spans="2:6" x14ac:dyDescent="0.2">
      <c r="B23" s="27"/>
      <c r="C23" s="148" t="s">
        <v>61</v>
      </c>
      <c r="D23" s="148" t="s">
        <v>58</v>
      </c>
      <c r="E23" s="148" t="s">
        <v>59</v>
      </c>
      <c r="F23" s="149" t="s">
        <v>60</v>
      </c>
    </row>
    <row r="24" spans="2:6" x14ac:dyDescent="0.2">
      <c r="B24" s="27"/>
      <c r="C24" s="150">
        <v>1</v>
      </c>
      <c r="D24" s="151">
        <f>'1'!$B$8</f>
        <v>48000</v>
      </c>
      <c r="E24" s="151">
        <f>'1'!$B$39</f>
        <v>-358240</v>
      </c>
      <c r="F24" s="151">
        <f>E24</f>
        <v>-358240</v>
      </c>
    </row>
    <row r="25" spans="2:6" x14ac:dyDescent="0.2">
      <c r="B25" s="27"/>
      <c r="C25" s="150">
        <v>2</v>
      </c>
      <c r="D25" s="151">
        <f>'1'!$C$8</f>
        <v>528000</v>
      </c>
      <c r="E25" s="151">
        <f>'1'!$C$39</f>
        <v>64481</v>
      </c>
      <c r="F25" s="151">
        <f>F24+E25</f>
        <v>-293759</v>
      </c>
    </row>
    <row r="26" spans="2:6" x14ac:dyDescent="0.2">
      <c r="B26" s="27"/>
      <c r="C26" s="150">
        <v>3</v>
      </c>
      <c r="D26" s="151">
        <f>'1'!$D$8</f>
        <v>806400</v>
      </c>
      <c r="E26" s="151">
        <f>'1'!$D$39</f>
        <v>174222.8</v>
      </c>
      <c r="F26" s="151">
        <f t="shared" ref="F26:F35" si="0">F25+E26</f>
        <v>-119536.20000000001</v>
      </c>
    </row>
    <row r="27" spans="2:6" x14ac:dyDescent="0.2">
      <c r="B27" s="27"/>
      <c r="C27" s="150">
        <v>4</v>
      </c>
      <c r="D27" s="151">
        <f>'1'!$E$8</f>
        <v>1029600</v>
      </c>
      <c r="E27" s="151">
        <f>'1'!$E$39</f>
        <v>250062.59285714282</v>
      </c>
      <c r="F27" s="151">
        <f t="shared" si="0"/>
        <v>130526.39285714281</v>
      </c>
    </row>
    <row r="28" spans="2:6" x14ac:dyDescent="0.2">
      <c r="B28" s="27"/>
      <c r="C28" s="150">
        <v>5</v>
      </c>
      <c r="D28" s="151">
        <f>'1'!$F$8</f>
        <v>1029600</v>
      </c>
      <c r="E28" s="151">
        <f>'1'!$F$39</f>
        <v>250062.59285714282</v>
      </c>
      <c r="F28" s="151">
        <f t="shared" si="0"/>
        <v>380588.98571428563</v>
      </c>
    </row>
    <row r="29" spans="2:6" x14ac:dyDescent="0.2">
      <c r="B29" s="27"/>
      <c r="C29" s="150">
        <v>6</v>
      </c>
      <c r="D29" s="151">
        <f>'1'!$G$8</f>
        <v>1029600</v>
      </c>
      <c r="E29" s="151">
        <f>'1'!$G$39</f>
        <v>250062.59285714282</v>
      </c>
      <c r="F29" s="151">
        <f t="shared" si="0"/>
        <v>630651.57857142843</v>
      </c>
    </row>
    <row r="30" spans="2:6" x14ac:dyDescent="0.2">
      <c r="B30" s="27"/>
      <c r="C30" s="150">
        <v>7</v>
      </c>
      <c r="D30" s="151">
        <f>'1'!$H$8</f>
        <v>1029600</v>
      </c>
      <c r="E30" s="151">
        <f>'1'!$H$39</f>
        <v>250062.59285714282</v>
      </c>
      <c r="F30" s="151">
        <f t="shared" si="0"/>
        <v>880714.17142857122</v>
      </c>
    </row>
    <row r="31" spans="2:6" x14ac:dyDescent="0.2">
      <c r="B31" s="27"/>
      <c r="C31" s="150">
        <v>8</v>
      </c>
      <c r="D31" s="151">
        <f>'1'!$I$8</f>
        <v>1029600</v>
      </c>
      <c r="E31" s="151">
        <f>'1'!$I$39</f>
        <v>250062.59285714282</v>
      </c>
      <c r="F31" s="151">
        <f t="shared" si="0"/>
        <v>1130776.7642857141</v>
      </c>
    </row>
    <row r="32" spans="2:6" x14ac:dyDescent="0.2">
      <c r="B32" s="27"/>
      <c r="C32" s="150">
        <v>9</v>
      </c>
      <c r="D32" s="151">
        <f>'1'!$J$8</f>
        <v>1029600</v>
      </c>
      <c r="E32" s="151">
        <f>'1'!$J$39</f>
        <v>250062.59285714282</v>
      </c>
      <c r="F32" s="151">
        <f t="shared" si="0"/>
        <v>1380839.357142857</v>
      </c>
    </row>
    <row r="33" spans="2:6" x14ac:dyDescent="0.2">
      <c r="B33" s="27"/>
      <c r="C33" s="150">
        <v>10</v>
      </c>
      <c r="D33" s="151">
        <f>'1'!$K$8</f>
        <v>1029600</v>
      </c>
      <c r="E33" s="151">
        <f>'1'!$K$39</f>
        <v>250062.59285714282</v>
      </c>
      <c r="F33" s="151">
        <f t="shared" si="0"/>
        <v>1630901.95</v>
      </c>
    </row>
    <row r="34" spans="2:6" x14ac:dyDescent="0.2">
      <c r="B34" s="27"/>
      <c r="C34" s="150">
        <v>11</v>
      </c>
      <c r="D34" s="151">
        <f>'1'!$L$8</f>
        <v>1029600</v>
      </c>
      <c r="E34" s="151">
        <f>'1'!$L$39</f>
        <v>250062.59285714282</v>
      </c>
      <c r="F34" s="151">
        <f t="shared" si="0"/>
        <v>1880964.5428571429</v>
      </c>
    </row>
    <row r="35" spans="2:6" x14ac:dyDescent="0.2">
      <c r="C35" s="150">
        <v>12</v>
      </c>
      <c r="D35" s="151">
        <f>'1'!$M$8</f>
        <v>1029600</v>
      </c>
      <c r="E35" s="151">
        <f>'1'!$M$39</f>
        <v>250062.59285714282</v>
      </c>
      <c r="F35" s="151">
        <f t="shared" si="0"/>
        <v>2131027.1357142855</v>
      </c>
    </row>
  </sheetData>
  <pageMargins left="1" right="1" top="1" bottom="1" header="0.5" footer="0.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workbookViewId="0">
      <selection activeCell="B1" sqref="B1:H1"/>
    </sheetView>
  </sheetViews>
  <sheetFormatPr defaultRowHeight="12.75" x14ac:dyDescent="0.2"/>
  <cols>
    <col min="1" max="1" width="6.85546875" style="25" customWidth="1"/>
    <col min="2" max="2" width="35.5703125" style="25" customWidth="1"/>
    <col min="3" max="3" width="10.42578125" style="51" customWidth="1"/>
    <col min="4" max="4" width="1.5703125" style="25" customWidth="1"/>
    <col min="5" max="5" width="16.28515625" style="12" customWidth="1"/>
    <col min="6" max="6" width="3.85546875" style="25" customWidth="1"/>
    <col min="7" max="7" width="9.42578125" style="44" customWidth="1"/>
    <col min="8" max="8" width="10.42578125" style="12" customWidth="1"/>
    <col min="9" max="9" width="3.140625" style="25" customWidth="1"/>
    <col min="10" max="10" width="6" style="25" customWidth="1"/>
    <col min="11" max="11" width="49" style="25" bestFit="1" customWidth="1"/>
    <col min="12" max="14" width="9.140625" style="48"/>
    <col min="15" max="15" width="10.85546875" style="25" customWidth="1"/>
    <col min="16" max="16" width="9.140625" style="48"/>
    <col min="17" max="16384" width="9.140625" style="25"/>
  </cols>
  <sheetData>
    <row r="1" spans="2:16" ht="15.75" x14ac:dyDescent="0.2">
      <c r="B1" s="170" t="s">
        <v>63</v>
      </c>
      <c r="C1" s="170"/>
      <c r="D1" s="170"/>
      <c r="E1" s="170"/>
      <c r="F1" s="170"/>
      <c r="G1" s="170"/>
      <c r="H1" s="170"/>
      <c r="K1" s="168"/>
      <c r="L1" s="168"/>
      <c r="M1" s="168"/>
      <c r="N1" s="168"/>
      <c r="O1" s="48"/>
      <c r="P1" s="25"/>
    </row>
    <row r="2" spans="2:16" s="26" customFormat="1" x14ac:dyDescent="0.2">
      <c r="B2" s="28"/>
      <c r="C2" s="28"/>
      <c r="E2" s="29"/>
      <c r="G2" s="30"/>
      <c r="H2" s="31"/>
      <c r="K2" s="27"/>
      <c r="L2" s="27"/>
      <c r="M2" s="27"/>
      <c r="N2" s="27"/>
      <c r="O2" s="27"/>
    </row>
    <row r="3" spans="2:16" x14ac:dyDescent="0.2">
      <c r="B3" s="58" t="s">
        <v>2</v>
      </c>
      <c r="C3" s="54">
        <f>C4+C10+C19+C20+C21</f>
        <v>205000</v>
      </c>
      <c r="E3" s="169" t="s">
        <v>64</v>
      </c>
      <c r="F3" s="169"/>
      <c r="G3" s="32" t="s">
        <v>65</v>
      </c>
      <c r="H3" s="53">
        <v>20</v>
      </c>
      <c r="K3" s="48"/>
      <c r="O3" s="49"/>
      <c r="P3" s="25"/>
    </row>
    <row r="4" spans="2:16" ht="20.25" customHeight="1" x14ac:dyDescent="0.2">
      <c r="B4" s="59" t="s">
        <v>96</v>
      </c>
      <c r="C4" s="55">
        <f>SUM(C5:C9)</f>
        <v>70000</v>
      </c>
      <c r="E4" s="40" t="s">
        <v>94</v>
      </c>
      <c r="G4" s="30"/>
      <c r="H4" s="41"/>
      <c r="K4" s="48"/>
      <c r="O4" s="49"/>
      <c r="P4" s="25"/>
    </row>
    <row r="5" spans="2:16" x14ac:dyDescent="0.2">
      <c r="B5" s="60" t="s">
        <v>97</v>
      </c>
      <c r="C5" s="56">
        <v>0</v>
      </c>
      <c r="E5" s="42" t="s">
        <v>73</v>
      </c>
      <c r="F5" s="43">
        <v>2</v>
      </c>
      <c r="H5" s="41"/>
      <c r="K5" s="48"/>
      <c r="O5" s="49"/>
      <c r="P5" s="25"/>
    </row>
    <row r="6" spans="2:16" x14ac:dyDescent="0.2">
      <c r="B6" s="57" t="s">
        <v>87</v>
      </c>
      <c r="C6" s="36">
        <v>20000</v>
      </c>
      <c r="K6" s="48"/>
      <c r="N6" s="25"/>
      <c r="O6" s="48"/>
      <c r="P6" s="25"/>
    </row>
    <row r="7" spans="2:16" x14ac:dyDescent="0.2">
      <c r="B7" s="35" t="s">
        <v>88</v>
      </c>
      <c r="C7" s="36">
        <v>50000</v>
      </c>
      <c r="E7" s="33" t="s">
        <v>95</v>
      </c>
      <c r="F7" s="45"/>
      <c r="G7" s="46" t="s">
        <v>74</v>
      </c>
      <c r="H7" s="46" t="s">
        <v>75</v>
      </c>
      <c r="K7" s="48"/>
      <c r="N7" s="25"/>
      <c r="O7" s="48"/>
      <c r="P7" s="25"/>
    </row>
    <row r="8" spans="2:16" x14ac:dyDescent="0.2">
      <c r="B8" s="35" t="s">
        <v>66</v>
      </c>
      <c r="C8" s="36">
        <v>0</v>
      </c>
      <c r="E8" s="42" t="s">
        <v>76</v>
      </c>
      <c r="F8" s="47">
        <v>2</v>
      </c>
      <c r="G8" s="37">
        <v>20000</v>
      </c>
      <c r="H8" s="37">
        <f t="shared" ref="H8:H10" si="0">G8*F8</f>
        <v>40000</v>
      </c>
      <c r="L8" s="25"/>
      <c r="M8" s="25"/>
      <c r="N8" s="25"/>
      <c r="P8" s="25"/>
    </row>
    <row r="9" spans="2:16" x14ac:dyDescent="0.2">
      <c r="B9" s="35" t="s">
        <v>67</v>
      </c>
      <c r="C9" s="36">
        <v>0</v>
      </c>
      <c r="E9" s="42" t="s">
        <v>77</v>
      </c>
      <c r="F9" s="47">
        <v>1</v>
      </c>
      <c r="G9" s="37">
        <v>5000</v>
      </c>
      <c r="H9" s="37">
        <f t="shared" si="0"/>
        <v>5000</v>
      </c>
      <c r="L9" s="25"/>
      <c r="M9" s="25"/>
      <c r="N9" s="25"/>
      <c r="P9" s="25"/>
    </row>
    <row r="10" spans="2:16" x14ac:dyDescent="0.2">
      <c r="B10" s="33" t="s">
        <v>68</v>
      </c>
      <c r="C10" s="34">
        <f>SUM(C11:C14)</f>
        <v>57000</v>
      </c>
      <c r="E10" s="42" t="s">
        <v>78</v>
      </c>
      <c r="F10" s="47">
        <v>0</v>
      </c>
      <c r="G10" s="37">
        <v>15000</v>
      </c>
      <c r="H10" s="37">
        <f t="shared" si="0"/>
        <v>0</v>
      </c>
      <c r="L10" s="25"/>
      <c r="M10" s="25"/>
      <c r="N10" s="25"/>
      <c r="P10" s="25"/>
    </row>
    <row r="11" spans="2:16" x14ac:dyDescent="0.2">
      <c r="B11" s="38" t="s">
        <v>90</v>
      </c>
      <c r="C11" s="39">
        <v>45000</v>
      </c>
      <c r="E11" s="25"/>
      <c r="G11" s="25"/>
      <c r="H11" s="25"/>
      <c r="J11" s="26"/>
      <c r="K11" s="48"/>
      <c r="N11" s="25"/>
      <c r="O11" s="48"/>
      <c r="P11" s="25"/>
    </row>
    <row r="12" spans="2:16" x14ac:dyDescent="0.2">
      <c r="B12" s="38" t="s">
        <v>89</v>
      </c>
      <c r="C12" s="39">
        <v>10000</v>
      </c>
      <c r="E12" s="33" t="s">
        <v>79</v>
      </c>
      <c r="G12" s="25"/>
      <c r="H12" s="25"/>
      <c r="L12" s="25"/>
      <c r="M12" s="25"/>
      <c r="N12" s="25"/>
      <c r="P12" s="25"/>
    </row>
    <row r="13" spans="2:16" x14ac:dyDescent="0.2">
      <c r="B13" s="38" t="s">
        <v>69</v>
      </c>
      <c r="C13" s="39">
        <v>2000</v>
      </c>
      <c r="E13" s="42" t="s">
        <v>80</v>
      </c>
      <c r="F13" s="43">
        <v>3</v>
      </c>
      <c r="G13" s="37">
        <v>2000</v>
      </c>
      <c r="H13" s="37">
        <f t="shared" ref="H13:H18" si="1">G13*F13</f>
        <v>6000</v>
      </c>
      <c r="J13" s="26"/>
      <c r="K13" s="48"/>
      <c r="N13" s="25"/>
      <c r="O13" s="48"/>
      <c r="P13" s="25"/>
    </row>
    <row r="14" spans="2:16" x14ac:dyDescent="0.2">
      <c r="B14" s="38" t="s">
        <v>91</v>
      </c>
      <c r="C14" s="39"/>
      <c r="E14" s="42" t="s">
        <v>81</v>
      </c>
      <c r="F14" s="43">
        <v>2</v>
      </c>
      <c r="G14" s="37">
        <v>2500</v>
      </c>
      <c r="H14" s="37">
        <f t="shared" si="1"/>
        <v>5000</v>
      </c>
      <c r="L14" s="25"/>
      <c r="M14" s="25"/>
      <c r="N14" s="25"/>
      <c r="P14" s="25"/>
    </row>
    <row r="15" spans="2:16" x14ac:dyDescent="0.2">
      <c r="B15" s="33" t="s">
        <v>70</v>
      </c>
      <c r="C15" s="39">
        <f>SUM(C16:C18)</f>
        <v>15000</v>
      </c>
      <c r="E15" s="42" t="s">
        <v>82</v>
      </c>
      <c r="F15" s="43">
        <v>2</v>
      </c>
      <c r="G15" s="37">
        <v>3000</v>
      </c>
      <c r="H15" s="37">
        <f t="shared" si="1"/>
        <v>6000</v>
      </c>
      <c r="J15" s="26"/>
      <c r="K15" s="48"/>
      <c r="N15" s="25"/>
      <c r="O15" s="48"/>
      <c r="P15" s="25"/>
    </row>
    <row r="16" spans="2:16" x14ac:dyDescent="0.2">
      <c r="B16" s="38" t="s">
        <v>92</v>
      </c>
      <c r="C16" s="39">
        <f>H10</f>
        <v>0</v>
      </c>
      <c r="E16" s="42" t="s">
        <v>86</v>
      </c>
      <c r="F16" s="43">
        <v>2</v>
      </c>
      <c r="G16" s="37">
        <v>1800</v>
      </c>
      <c r="H16" s="37">
        <f t="shared" si="1"/>
        <v>3600</v>
      </c>
      <c r="I16" s="50"/>
      <c r="J16" s="26"/>
      <c r="K16" s="48"/>
      <c r="N16" s="25"/>
      <c r="O16" s="48"/>
      <c r="P16" s="25"/>
    </row>
    <row r="17" spans="2:16" x14ac:dyDescent="0.2">
      <c r="B17" s="38" t="s">
        <v>93</v>
      </c>
      <c r="C17" s="39">
        <v>15000</v>
      </c>
      <c r="E17" s="42" t="s">
        <v>85</v>
      </c>
      <c r="F17" s="43">
        <v>4</v>
      </c>
      <c r="G17" s="37">
        <v>600</v>
      </c>
      <c r="H17" s="37">
        <f t="shared" si="1"/>
        <v>2400</v>
      </c>
      <c r="J17" s="26"/>
      <c r="L17" s="25"/>
      <c r="M17" s="25"/>
      <c r="N17" s="25"/>
      <c r="P17" s="25"/>
    </row>
    <row r="18" spans="2:16" x14ac:dyDescent="0.2">
      <c r="B18" s="38" t="s">
        <v>71</v>
      </c>
      <c r="C18" s="39">
        <f>H18</f>
        <v>0</v>
      </c>
      <c r="E18" s="42" t="s">
        <v>83</v>
      </c>
      <c r="F18" s="43">
        <v>0</v>
      </c>
      <c r="G18" s="37"/>
      <c r="H18" s="37">
        <f t="shared" si="1"/>
        <v>0</v>
      </c>
      <c r="J18" s="26"/>
      <c r="L18" s="25"/>
      <c r="M18" s="25"/>
      <c r="N18" s="25"/>
      <c r="P18" s="25"/>
    </row>
    <row r="19" spans="2:16" ht="22.5" x14ac:dyDescent="0.2">
      <c r="B19" s="33" t="s">
        <v>72</v>
      </c>
      <c r="C19" s="34">
        <f>SUM(H8:H10)</f>
        <v>45000</v>
      </c>
      <c r="E19" s="52"/>
      <c r="G19" s="52"/>
      <c r="H19" s="52"/>
      <c r="J19" s="26"/>
      <c r="L19" s="25"/>
      <c r="M19" s="25"/>
      <c r="N19" s="25"/>
      <c r="P19" s="25"/>
    </row>
    <row r="20" spans="2:16" x14ac:dyDescent="0.2">
      <c r="B20" s="33" t="s">
        <v>79</v>
      </c>
      <c r="C20" s="34">
        <f>SUM(H13:H18)</f>
        <v>23000</v>
      </c>
      <c r="E20" s="52"/>
      <c r="G20" s="52"/>
      <c r="H20" s="52"/>
      <c r="J20" s="26"/>
      <c r="L20" s="25"/>
      <c r="M20" s="25"/>
      <c r="N20" s="25"/>
      <c r="P20" s="25"/>
    </row>
    <row r="21" spans="2:16" x14ac:dyDescent="0.2">
      <c r="B21" s="33" t="s">
        <v>84</v>
      </c>
      <c r="C21" s="34">
        <v>10000</v>
      </c>
      <c r="E21" s="25"/>
      <c r="G21" s="25"/>
      <c r="H21" s="25"/>
      <c r="L21" s="25"/>
      <c r="M21" s="25"/>
      <c r="N21" s="25"/>
      <c r="P21" s="25"/>
    </row>
    <row r="22" spans="2:16" x14ac:dyDescent="0.2">
      <c r="E22" s="25"/>
      <c r="G22" s="25"/>
      <c r="H22" s="25"/>
      <c r="L22" s="25"/>
      <c r="M22" s="25"/>
      <c r="N22" s="25"/>
      <c r="P22" s="25"/>
    </row>
    <row r="23" spans="2:16" x14ac:dyDescent="0.2">
      <c r="E23" s="25"/>
      <c r="G23" s="25"/>
      <c r="H23" s="25"/>
    </row>
    <row r="24" spans="2:16" x14ac:dyDescent="0.2">
      <c r="E24" s="25"/>
      <c r="G24" s="25"/>
      <c r="H24" s="25"/>
    </row>
    <row r="25" spans="2:16" x14ac:dyDescent="0.2">
      <c r="E25" s="52"/>
      <c r="G25" s="52"/>
      <c r="H25" s="52"/>
    </row>
    <row r="26" spans="2:16" x14ac:dyDescent="0.2">
      <c r="E26" s="52"/>
      <c r="G26" s="52"/>
      <c r="H26" s="52"/>
    </row>
    <row r="27" spans="2:16" x14ac:dyDescent="0.2">
      <c r="E27" s="52"/>
      <c r="G27" s="52"/>
      <c r="H27" s="52"/>
    </row>
    <row r="28" spans="2:16" x14ac:dyDescent="0.2">
      <c r="E28" s="52"/>
      <c r="G28" s="52"/>
      <c r="H28" s="52"/>
    </row>
    <row r="29" spans="2:16" x14ac:dyDescent="0.2">
      <c r="E29" s="52"/>
      <c r="G29" s="52"/>
      <c r="H29" s="52"/>
    </row>
    <row r="30" spans="2:16" x14ac:dyDescent="0.2">
      <c r="E30" s="52"/>
      <c r="G30" s="52"/>
      <c r="H30" s="52"/>
      <c r="L30" s="25"/>
      <c r="M30" s="25"/>
      <c r="N30" s="25"/>
    </row>
    <row r="31" spans="2:16" x14ac:dyDescent="0.2">
      <c r="E31" s="52"/>
      <c r="G31" s="52"/>
      <c r="H31" s="52"/>
      <c r="L31" s="25"/>
      <c r="M31" s="25"/>
      <c r="N31" s="25"/>
    </row>
    <row r="32" spans="2:16" x14ac:dyDescent="0.2">
      <c r="E32" s="52"/>
      <c r="G32" s="52"/>
      <c r="H32" s="52"/>
      <c r="L32" s="25"/>
      <c r="M32" s="25"/>
      <c r="N32" s="25"/>
    </row>
    <row r="33" spans="5:14" x14ac:dyDescent="0.2">
      <c r="E33" s="52"/>
      <c r="G33" s="52"/>
      <c r="H33" s="52"/>
      <c r="L33" s="25"/>
      <c r="M33" s="25"/>
      <c r="N33" s="25"/>
    </row>
    <row r="34" spans="5:14" x14ac:dyDescent="0.2">
      <c r="E34" s="52"/>
      <c r="G34" s="52"/>
      <c r="H34" s="52"/>
      <c r="L34" s="25"/>
      <c r="M34" s="25"/>
      <c r="N34" s="25"/>
    </row>
    <row r="35" spans="5:14" x14ac:dyDescent="0.2">
      <c r="E35" s="52"/>
      <c r="G35" s="52"/>
      <c r="H35" s="52"/>
      <c r="L35" s="25"/>
      <c r="M35" s="25"/>
      <c r="N35" s="25"/>
    </row>
    <row r="36" spans="5:14" x14ac:dyDescent="0.2">
      <c r="E36" s="52"/>
      <c r="G36" s="52"/>
      <c r="H36" s="52"/>
      <c r="L36" s="25"/>
      <c r="M36" s="25"/>
      <c r="N36" s="25"/>
    </row>
    <row r="37" spans="5:14" x14ac:dyDescent="0.2">
      <c r="E37" s="52"/>
      <c r="G37" s="52"/>
      <c r="H37" s="52"/>
      <c r="L37" s="25"/>
      <c r="M37" s="25"/>
      <c r="N37" s="25"/>
    </row>
    <row r="38" spans="5:14" x14ac:dyDescent="0.2">
      <c r="E38" s="52"/>
      <c r="G38" s="52"/>
      <c r="H38" s="52"/>
      <c r="L38" s="25"/>
      <c r="M38" s="25"/>
      <c r="N38" s="25"/>
    </row>
    <row r="39" spans="5:14" x14ac:dyDescent="0.2">
      <c r="E39" s="52"/>
      <c r="G39" s="52"/>
      <c r="H39" s="52"/>
      <c r="L39" s="25"/>
      <c r="M39" s="25"/>
      <c r="N39" s="25"/>
    </row>
    <row r="40" spans="5:14" x14ac:dyDescent="0.2">
      <c r="E40" s="52"/>
      <c r="G40" s="52"/>
      <c r="H40" s="52"/>
      <c r="L40" s="25"/>
      <c r="M40" s="25"/>
      <c r="N40" s="25"/>
    </row>
    <row r="41" spans="5:14" x14ac:dyDescent="0.2">
      <c r="L41" s="25"/>
      <c r="M41" s="25"/>
      <c r="N41" s="25"/>
    </row>
    <row r="42" spans="5:14" x14ac:dyDescent="0.2">
      <c r="L42" s="25"/>
      <c r="M42" s="25"/>
      <c r="N42" s="25"/>
    </row>
    <row r="43" spans="5:14" x14ac:dyDescent="0.2">
      <c r="L43" s="25"/>
      <c r="M43" s="25"/>
      <c r="N43" s="25"/>
    </row>
    <row r="44" spans="5:14" x14ac:dyDescent="0.2">
      <c r="J44" s="26"/>
      <c r="L44" s="25"/>
      <c r="M44" s="25"/>
      <c r="N44" s="25"/>
    </row>
    <row r="45" spans="5:14" x14ac:dyDescent="0.2">
      <c r="J45" s="26"/>
      <c r="L45" s="25"/>
      <c r="M45" s="25"/>
      <c r="N45" s="25"/>
    </row>
    <row r="46" spans="5:14" x14ac:dyDescent="0.2">
      <c r="J46" s="26"/>
      <c r="L46" s="25"/>
      <c r="M46" s="25"/>
      <c r="N46" s="25"/>
    </row>
    <row r="47" spans="5:14" x14ac:dyDescent="0.2">
      <c r="J47" s="26"/>
      <c r="L47" s="25"/>
      <c r="M47" s="25"/>
      <c r="N47" s="25"/>
    </row>
    <row r="48" spans="5:14" x14ac:dyDescent="0.2">
      <c r="J48" s="26"/>
      <c r="L48" s="25"/>
      <c r="M48" s="25"/>
      <c r="N48" s="25"/>
    </row>
    <row r="49" spans="10:14" x14ac:dyDescent="0.2">
      <c r="J49" s="26"/>
      <c r="L49" s="25"/>
      <c r="M49" s="25"/>
      <c r="N49" s="25"/>
    </row>
    <row r="50" spans="10:14" x14ac:dyDescent="0.2">
      <c r="J50" s="26"/>
      <c r="L50" s="25"/>
      <c r="M50" s="25"/>
      <c r="N50" s="25"/>
    </row>
    <row r="51" spans="10:14" x14ac:dyDescent="0.2">
      <c r="J51" s="26"/>
      <c r="L51" s="25"/>
      <c r="M51" s="25"/>
      <c r="N51" s="25"/>
    </row>
    <row r="52" spans="10:14" x14ac:dyDescent="0.2">
      <c r="J52" s="26"/>
      <c r="L52" s="25"/>
      <c r="M52" s="25"/>
      <c r="N52" s="25"/>
    </row>
    <row r="53" spans="10:14" x14ac:dyDescent="0.2">
      <c r="J53" s="26"/>
      <c r="L53" s="25"/>
      <c r="M53" s="25"/>
      <c r="N53" s="25"/>
    </row>
    <row r="54" spans="10:14" x14ac:dyDescent="0.2">
      <c r="J54" s="26"/>
      <c r="L54" s="25"/>
      <c r="M54" s="25"/>
      <c r="N54" s="25"/>
    </row>
    <row r="55" spans="10:14" x14ac:dyDescent="0.2">
      <c r="J55" s="26"/>
      <c r="L55" s="25"/>
      <c r="M55" s="25"/>
      <c r="N55" s="25"/>
    </row>
    <row r="56" spans="10:14" x14ac:dyDescent="0.2">
      <c r="J56" s="26"/>
      <c r="L56" s="25"/>
      <c r="M56" s="25"/>
      <c r="N56" s="25"/>
    </row>
    <row r="57" spans="10:14" x14ac:dyDescent="0.2">
      <c r="J57" s="26"/>
      <c r="L57" s="25"/>
      <c r="M57" s="25"/>
      <c r="N57" s="25"/>
    </row>
    <row r="58" spans="10:14" x14ac:dyDescent="0.2">
      <c r="J58" s="26"/>
    </row>
  </sheetData>
  <mergeCells count="3">
    <mergeCell ref="K1:N1"/>
    <mergeCell ref="E3:F3"/>
    <mergeCell ref="B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G18" sqref="G18"/>
    </sheetView>
  </sheetViews>
  <sheetFormatPr defaultColWidth="10.7109375" defaultRowHeight="11.25" outlineLevelRow="3" x14ac:dyDescent="0.2"/>
  <cols>
    <col min="1" max="1" width="29.42578125" style="1" bestFit="1" customWidth="1"/>
    <col min="2" max="2" width="9.42578125" style="4" bestFit="1" customWidth="1"/>
    <col min="3" max="16384" width="10.7109375" style="1"/>
  </cols>
  <sheetData>
    <row r="1" spans="1:2" ht="15.75" thickBot="1" x14ac:dyDescent="0.3">
      <c r="A1" s="171" t="s">
        <v>120</v>
      </c>
      <c r="B1" s="171"/>
    </row>
    <row r="2" spans="1:2" s="7" customFormat="1" ht="12.75" x14ac:dyDescent="0.2">
      <c r="A2" s="61" t="s">
        <v>1</v>
      </c>
      <c r="B2" s="127">
        <v>3</v>
      </c>
    </row>
    <row r="3" spans="1:2" s="6" customFormat="1" ht="12" hidden="1" x14ac:dyDescent="0.2">
      <c r="A3" s="62" t="s">
        <v>11</v>
      </c>
      <c r="B3" s="128">
        <f t="shared" ref="B3" si="0">B4</f>
        <v>300000</v>
      </c>
    </row>
    <row r="4" spans="1:2" s="5" customFormat="1" collapsed="1" x14ac:dyDescent="0.2">
      <c r="A4" s="65" t="s">
        <v>0</v>
      </c>
      <c r="B4" s="129">
        <f>B5*B6</f>
        <v>300000</v>
      </c>
    </row>
    <row r="5" spans="1:2" s="3" customFormat="1" ht="9.75" outlineLevel="1" x14ac:dyDescent="0.2">
      <c r="A5" s="68" t="s">
        <v>3</v>
      </c>
      <c r="B5" s="130">
        <v>15000</v>
      </c>
    </row>
    <row r="6" spans="1:2" s="3" customFormat="1" ht="9.75" outlineLevel="1" x14ac:dyDescent="0.2">
      <c r="A6" s="68" t="s">
        <v>4</v>
      </c>
      <c r="B6" s="130">
        <v>20</v>
      </c>
    </row>
    <row r="7" spans="1:2" s="5" customFormat="1" hidden="1" outlineLevel="1" x14ac:dyDescent="0.2">
      <c r="A7" s="65"/>
      <c r="B7" s="131"/>
    </row>
    <row r="8" spans="1:2" s="9" customFormat="1" ht="12" collapsed="1" x14ac:dyDescent="0.2">
      <c r="A8" s="102" t="s">
        <v>21</v>
      </c>
      <c r="B8" s="132">
        <f>B4+B7</f>
        <v>300000</v>
      </c>
    </row>
    <row r="9" spans="1:2" s="9" customFormat="1" ht="12" x14ac:dyDescent="0.2">
      <c r="A9" s="118" t="s">
        <v>109</v>
      </c>
      <c r="B9" s="133">
        <f t="shared" ref="B9" si="1">B10+B13+B19</f>
        <v>160875</v>
      </c>
    </row>
    <row r="10" spans="1:2" s="2" customFormat="1" x14ac:dyDescent="0.2">
      <c r="A10" s="75" t="s">
        <v>108</v>
      </c>
      <c r="B10" s="129">
        <f>B3*B12</f>
        <v>75000</v>
      </c>
    </row>
    <row r="11" spans="1:2" s="11" customFormat="1" hidden="1" outlineLevel="1" x14ac:dyDescent="0.2">
      <c r="A11" s="76"/>
      <c r="B11" s="134"/>
    </row>
    <row r="12" spans="1:2" s="10" customFormat="1" collapsed="1" x14ac:dyDescent="0.2">
      <c r="A12" s="79" t="s">
        <v>98</v>
      </c>
      <c r="B12" s="135">
        <v>0.25</v>
      </c>
    </row>
    <row r="13" spans="1:2" s="2" customFormat="1" x14ac:dyDescent="0.2">
      <c r="A13" s="75" t="s">
        <v>12</v>
      </c>
      <c r="B13" s="129">
        <f>SUM(B14:B17)</f>
        <v>84000</v>
      </c>
    </row>
    <row r="14" spans="1:2" outlineLevel="1" x14ac:dyDescent="0.2">
      <c r="A14" s="81" t="s">
        <v>114</v>
      </c>
      <c r="B14" s="136">
        <f>B3*3%</f>
        <v>9000</v>
      </c>
    </row>
    <row r="15" spans="1:2" outlineLevel="1" x14ac:dyDescent="0.2">
      <c r="A15" s="81" t="s">
        <v>110</v>
      </c>
      <c r="B15" s="136">
        <f>B4*2%</f>
        <v>6000</v>
      </c>
    </row>
    <row r="16" spans="1:2" outlineLevel="1" x14ac:dyDescent="0.2">
      <c r="A16" s="81" t="s">
        <v>111</v>
      </c>
      <c r="B16" s="136">
        <f>B4*3%</f>
        <v>9000</v>
      </c>
    </row>
    <row r="17" spans="1:2" outlineLevel="1" x14ac:dyDescent="0.2">
      <c r="A17" s="84" t="s">
        <v>112</v>
      </c>
      <c r="B17" s="136">
        <f>B4*20%</f>
        <v>60000</v>
      </c>
    </row>
    <row r="18" spans="1:2" s="10" customFormat="1" x14ac:dyDescent="0.2">
      <c r="A18" s="85" t="s">
        <v>99</v>
      </c>
      <c r="B18" s="135">
        <f>B13/B8</f>
        <v>0.28000000000000003</v>
      </c>
    </row>
    <row r="19" spans="1:2" s="10" customFormat="1" x14ac:dyDescent="0.2">
      <c r="A19" s="65" t="s">
        <v>48</v>
      </c>
      <c r="B19" s="137">
        <f t="shared" ref="B19" si="2">B10*2.5%</f>
        <v>1875</v>
      </c>
    </row>
    <row r="20" spans="1:2" s="9" customFormat="1" ht="12" x14ac:dyDescent="0.2">
      <c r="A20" s="102" t="s">
        <v>13</v>
      </c>
      <c r="B20" s="132">
        <f>B4-B10</f>
        <v>225000</v>
      </c>
    </row>
    <row r="21" spans="1:2" s="14" customFormat="1" ht="10.5" x14ac:dyDescent="0.15">
      <c r="A21" s="87" t="s">
        <v>19</v>
      </c>
      <c r="B21" s="138">
        <f>B20/B8</f>
        <v>0.75</v>
      </c>
    </row>
    <row r="22" spans="1:2" s="8" customFormat="1" ht="12" collapsed="1" x14ac:dyDescent="0.2">
      <c r="A22" s="118" t="s">
        <v>115</v>
      </c>
      <c r="B22" s="139">
        <f>SUM(B23,B30:B34)</f>
        <v>139000</v>
      </c>
    </row>
    <row r="23" spans="1:2" s="2" customFormat="1" outlineLevel="1" x14ac:dyDescent="0.2">
      <c r="A23" s="75" t="s">
        <v>15</v>
      </c>
      <c r="B23" s="140">
        <f>B24+B29</f>
        <v>54000</v>
      </c>
    </row>
    <row r="24" spans="1:2" s="2" customFormat="1" outlineLevel="2" x14ac:dyDescent="0.2">
      <c r="A24" s="123" t="s">
        <v>14</v>
      </c>
      <c r="B24" s="140">
        <f>SUM(B25:B28)</f>
        <v>40000</v>
      </c>
    </row>
    <row r="25" spans="1:2" outlineLevel="3" x14ac:dyDescent="0.2">
      <c r="A25" s="81" t="s">
        <v>113</v>
      </c>
      <c r="B25" s="141">
        <v>20000</v>
      </c>
    </row>
    <row r="26" spans="1:2" outlineLevel="3" x14ac:dyDescent="0.2">
      <c r="A26" s="81" t="s">
        <v>116</v>
      </c>
      <c r="B26" s="141">
        <v>10000</v>
      </c>
    </row>
    <row r="27" spans="1:2" outlineLevel="3" x14ac:dyDescent="0.2">
      <c r="A27" s="81" t="s">
        <v>117</v>
      </c>
      <c r="B27" s="141">
        <v>10000</v>
      </c>
    </row>
    <row r="28" spans="1:2" outlineLevel="3" x14ac:dyDescent="0.2">
      <c r="A28" s="122" t="s">
        <v>8</v>
      </c>
      <c r="B28" s="141">
        <v>0</v>
      </c>
    </row>
    <row r="29" spans="1:2" s="2" customFormat="1" outlineLevel="2" x14ac:dyDescent="0.2">
      <c r="A29" s="123" t="s">
        <v>118</v>
      </c>
      <c r="B29" s="140">
        <f>B24*35%</f>
        <v>14000</v>
      </c>
    </row>
    <row r="30" spans="1:2" s="2" customFormat="1" outlineLevel="1" x14ac:dyDescent="0.2">
      <c r="A30" s="16" t="s">
        <v>22</v>
      </c>
      <c r="B30" s="140">
        <v>25000</v>
      </c>
    </row>
    <row r="31" spans="1:2" s="2" customFormat="1" outlineLevel="1" x14ac:dyDescent="0.2">
      <c r="A31" s="16" t="s">
        <v>49</v>
      </c>
      <c r="B31" s="140">
        <v>0</v>
      </c>
    </row>
    <row r="32" spans="1:2" s="2" customFormat="1" outlineLevel="1" x14ac:dyDescent="0.2">
      <c r="A32" s="16" t="s">
        <v>50</v>
      </c>
      <c r="B32" s="140">
        <v>0</v>
      </c>
    </row>
    <row r="33" spans="1:2" s="2" customFormat="1" outlineLevel="1" x14ac:dyDescent="0.2">
      <c r="A33" s="16" t="s">
        <v>25</v>
      </c>
      <c r="B33" s="140">
        <v>10000</v>
      </c>
    </row>
    <row r="34" spans="1:2" s="2" customFormat="1" outlineLevel="1" x14ac:dyDescent="0.2">
      <c r="A34" s="17" t="s">
        <v>23</v>
      </c>
      <c r="B34" s="142">
        <f>B6*100/30*750</f>
        <v>50000</v>
      </c>
    </row>
    <row r="35" spans="1:2" s="6" customFormat="1" ht="12" x14ac:dyDescent="0.2">
      <c r="A35" s="124" t="s">
        <v>18</v>
      </c>
      <c r="B35" s="143">
        <f>B9+B22</f>
        <v>299875</v>
      </c>
    </row>
    <row r="36" spans="1:2" s="9" customFormat="1" ht="12" x14ac:dyDescent="0.2">
      <c r="A36" s="73" t="s">
        <v>101</v>
      </c>
      <c r="B36" s="144">
        <f>B8-B35</f>
        <v>125</v>
      </c>
    </row>
    <row r="37" spans="1:2" s="2" customFormat="1" ht="24" hidden="1" x14ac:dyDescent="0.2">
      <c r="A37" s="95" t="s">
        <v>10</v>
      </c>
      <c r="B37" s="145">
        <f>B36/B8</f>
        <v>4.1666666666666669E-4</v>
      </c>
    </row>
    <row r="38" spans="1:2" ht="12" thickBot="1" x14ac:dyDescent="0.25">
      <c r="A38" s="99" t="s">
        <v>119</v>
      </c>
      <c r="B38" s="146">
        <f>B36*15%</f>
        <v>18.75</v>
      </c>
    </row>
    <row r="39" spans="1:2" s="22" customFormat="1" ht="13.5" thickBot="1" x14ac:dyDescent="0.25">
      <c r="A39" s="105" t="s">
        <v>102</v>
      </c>
      <c r="B39" s="147">
        <f>B36-B38</f>
        <v>106.25</v>
      </c>
    </row>
    <row r="40" spans="1:2" s="12" customFormat="1" ht="12" x14ac:dyDescent="0.2">
      <c r="A40" s="19"/>
      <c r="B40" s="20"/>
    </row>
    <row r="41" spans="1:2" s="12" customFormat="1" ht="12" x14ac:dyDescent="0.2">
      <c r="A41" s="19"/>
      <c r="B41" s="20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</vt:lpstr>
      <vt:lpstr>описание</vt:lpstr>
      <vt:lpstr>График</vt:lpstr>
      <vt:lpstr>Инвестиции</vt:lpstr>
      <vt:lpstr>Точка безубыточности</vt:lpstr>
      <vt:lpstr>'1'!Область_печати</vt:lpstr>
      <vt:lpstr>График!Область_печати</vt:lpstr>
      <vt:lpstr>Инвестиции!Область_печати</vt:lpstr>
      <vt:lpstr>описание!Область_печати</vt:lpstr>
    </vt:vector>
  </TitlesOfParts>
  <Company>Fabrikon.ru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Богданов</cp:lastModifiedBy>
  <cp:lastPrinted>2014-05-20T10:46:39Z</cp:lastPrinted>
  <dcterms:created xsi:type="dcterms:W3CDTF">2011-10-28T12:10:00Z</dcterms:created>
  <dcterms:modified xsi:type="dcterms:W3CDTF">2014-05-28T09:36:41Z</dcterms:modified>
</cp:coreProperties>
</file>